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53222"/>
  <mc:AlternateContent xmlns:mc="http://schemas.openxmlformats.org/markup-compatibility/2006">
    <mc:Choice Requires="x15">
      <x15ac:absPath xmlns:x15ac="http://schemas.microsoft.com/office/spreadsheetml/2010/11/ac" url="M:\Planificacion\Jacqueline\JACQUELINE\Información Planes Institucionales\EVALUACIONES PLAN DE DESARROLLO MUNICIPAL MEDIANO PLAZO\"/>
    </mc:Choice>
  </mc:AlternateContent>
  <bookViews>
    <workbookView xWindow="0" yWindow="0" windowWidth="24000" windowHeight="9735" firstSheet="7" activeTab="7"/>
  </bookViews>
  <sheets>
    <sheet name="GESTION AMBIENTA Y ORD. T." sheetId="1" r:id="rId1"/>
    <sheet name="INVERSION PUBLICA" sheetId="2" r:id="rId2"/>
    <sheet name="DESARROLLO Y GESTION INSTITUCIO" sheetId="3" r:id="rId3"/>
    <sheet name="SEGURIDAD CIUDADANA" sheetId="4" r:id="rId4"/>
    <sheet name="SERVICIOS PUBLICOS" sheetId="5" r:id="rId5"/>
    <sheet name="DESARROLLO ECONOMICO" sheetId="6" r:id="rId6"/>
    <sheet name="DESARROLLO SOCIAL" sheetId="7" r:id="rId7"/>
    <sheet name="SEG. Y EVALUACION" sheetId="8" r:id="rId8"/>
    <sheet name="METAS PENDIENTES 2015" sheetId="9" state="hidden" r:id="rId9"/>
  </sheets>
  <definedNames>
    <definedName name="_xlnm.Print_Titles" localSheetId="5">'DESARROLLO ECONOMICO'!$1:$8</definedName>
    <definedName name="_xlnm.Print_Titles" localSheetId="6">'DESARROLLO SOCIAL'!$1:$9</definedName>
    <definedName name="_xlnm.Print_Titles" localSheetId="2">'DESARROLLO Y GESTION INSTITUCIO'!$1:$9</definedName>
    <definedName name="_xlnm.Print_Titles" localSheetId="0">'GESTION AMBIENTA Y ORD. T.'!$1:$10</definedName>
    <definedName name="_xlnm.Print_Titles" localSheetId="1">'INVERSION PUBLICA'!$1:$11</definedName>
    <definedName name="_xlnm.Print_Titles" localSheetId="8">'METAS PENDIENTES 2015'!$1:$10</definedName>
    <definedName name="_xlnm.Print_Titles" localSheetId="3">'SEGURIDAD CIUDADANA'!$1:$9</definedName>
    <definedName name="_xlnm.Print_Titles" localSheetId="4">'SERVICIOS PUBLICOS'!$1:$9</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85" i="8" l="1"/>
  <c r="Q285" i="8"/>
  <c r="V284" i="8"/>
  <c r="C284" i="8"/>
  <c r="U283" i="8"/>
  <c r="T283" i="8"/>
  <c r="H283" i="8"/>
  <c r="I283" i="8" s="1"/>
  <c r="V282" i="8"/>
  <c r="T282" i="8"/>
  <c r="G282" i="8"/>
  <c r="U282" i="8" s="1"/>
  <c r="S281" i="8"/>
  <c r="N281" i="8"/>
  <c r="P281" i="8" s="1"/>
  <c r="L281" i="8"/>
  <c r="K281" i="8"/>
  <c r="V281" i="8" s="1"/>
  <c r="J281" i="8"/>
  <c r="G281" i="8"/>
  <c r="V280" i="8"/>
  <c r="W280" i="8" s="1"/>
  <c r="U280" i="8"/>
  <c r="T280" i="8"/>
  <c r="P280" i="8"/>
  <c r="L280" i="8"/>
  <c r="I280" i="8"/>
  <c r="F280" i="8"/>
  <c r="V279" i="8"/>
  <c r="U279" i="8"/>
  <c r="T279" i="8"/>
  <c r="S278" i="8"/>
  <c r="N278" i="8"/>
  <c r="P278" i="8" s="1"/>
  <c r="K278" i="8"/>
  <c r="L278" i="8" s="1"/>
  <c r="J278" i="8"/>
  <c r="H278" i="8"/>
  <c r="I278" i="8" s="1"/>
  <c r="G278" i="8"/>
  <c r="E278" i="8"/>
  <c r="D278" i="8"/>
  <c r="S277" i="8"/>
  <c r="O277" i="8"/>
  <c r="P277" i="8" s="1"/>
  <c r="N277" i="8"/>
  <c r="K277" i="8"/>
  <c r="L277" i="8" s="1"/>
  <c r="J277" i="8"/>
  <c r="H277" i="8"/>
  <c r="G277" i="8"/>
  <c r="F277" i="8"/>
  <c r="E277" i="8"/>
  <c r="V277" i="8" s="1"/>
  <c r="W277" i="8" s="1"/>
  <c r="D277" i="8"/>
  <c r="U277" i="8" s="1"/>
  <c r="V276" i="8"/>
  <c r="U276" i="8"/>
  <c r="T276" i="8"/>
  <c r="P276" i="8"/>
  <c r="L276" i="8"/>
  <c r="I276" i="8"/>
  <c r="F276" i="8"/>
  <c r="S275" i="8"/>
  <c r="N275" i="8"/>
  <c r="P275" i="8" s="1"/>
  <c r="K275" i="8"/>
  <c r="J275" i="8"/>
  <c r="H275" i="8"/>
  <c r="G275" i="8"/>
  <c r="AB275" i="8" s="1"/>
  <c r="F275" i="8"/>
  <c r="E275" i="8"/>
  <c r="V275" i="8" s="1"/>
  <c r="D275" i="8"/>
  <c r="S274" i="8"/>
  <c r="N274" i="8"/>
  <c r="P274" i="8" s="1"/>
  <c r="K274" i="8"/>
  <c r="J274" i="8"/>
  <c r="G274" i="8"/>
  <c r="F274" i="8"/>
  <c r="E274" i="8"/>
  <c r="D274" i="8"/>
  <c r="V273" i="8"/>
  <c r="U273" i="8"/>
  <c r="T273" i="8"/>
  <c r="F273" i="8"/>
  <c r="V272" i="8"/>
  <c r="U272" i="8"/>
  <c r="T272" i="8"/>
  <c r="I272" i="8"/>
  <c r="F272" i="8"/>
  <c r="S271" i="8"/>
  <c r="N271" i="8"/>
  <c r="P271" i="8" s="1"/>
  <c r="K271" i="8"/>
  <c r="L271" i="8" s="1"/>
  <c r="J271" i="8"/>
  <c r="I271" i="8"/>
  <c r="H271" i="8"/>
  <c r="G271" i="8"/>
  <c r="E271" i="8"/>
  <c r="D271" i="8"/>
  <c r="U271" i="8" s="1"/>
  <c r="S270" i="8"/>
  <c r="N270" i="8"/>
  <c r="P270" i="8" s="1"/>
  <c r="K270" i="8"/>
  <c r="L270" i="8" s="1"/>
  <c r="J270" i="8"/>
  <c r="H270" i="8"/>
  <c r="I270" i="8" s="1"/>
  <c r="G270" i="8"/>
  <c r="U270" i="8" s="1"/>
  <c r="E270" i="8"/>
  <c r="F270" i="8" s="1"/>
  <c r="D270" i="8"/>
  <c r="U269" i="8"/>
  <c r="T269" i="8"/>
  <c r="E269" i="8"/>
  <c r="V269" i="8" s="1"/>
  <c r="W269" i="8" s="1"/>
  <c r="V268" i="8"/>
  <c r="U268" i="8"/>
  <c r="T268" i="8"/>
  <c r="S267" i="8"/>
  <c r="P267" i="8"/>
  <c r="N267" i="8"/>
  <c r="M267" i="8"/>
  <c r="K267" i="8"/>
  <c r="V267" i="8" s="1"/>
  <c r="J267" i="8"/>
  <c r="H267" i="8"/>
  <c r="G267" i="8"/>
  <c r="E267" i="8"/>
  <c r="Y266" i="8"/>
  <c r="V266" i="8"/>
  <c r="W266" i="8" s="1"/>
  <c r="U266" i="8"/>
  <c r="T266" i="8"/>
  <c r="P266" i="8"/>
  <c r="L266" i="8"/>
  <c r="H266" i="8"/>
  <c r="I266" i="8" s="1"/>
  <c r="F266" i="8"/>
  <c r="U265" i="8"/>
  <c r="W265" i="8" s="1"/>
  <c r="T265" i="8"/>
  <c r="P265" i="8"/>
  <c r="K265" i="8"/>
  <c r="V265" i="8" s="1"/>
  <c r="I265" i="8"/>
  <c r="T264" i="8"/>
  <c r="P264" i="8"/>
  <c r="L264" i="8"/>
  <c r="I264" i="8"/>
  <c r="E264" i="8"/>
  <c r="V264" i="8" s="1"/>
  <c r="D264" i="8"/>
  <c r="U264" i="8" s="1"/>
  <c r="U263" i="8"/>
  <c r="T263" i="8"/>
  <c r="P263" i="8"/>
  <c r="K263" i="8"/>
  <c r="V263" i="8" s="1"/>
  <c r="W263" i="8" s="1"/>
  <c r="I263" i="8"/>
  <c r="F263" i="8"/>
  <c r="S262" i="8"/>
  <c r="P262" i="8"/>
  <c r="N262" i="8"/>
  <c r="L262" i="8"/>
  <c r="K262" i="8"/>
  <c r="J262" i="8"/>
  <c r="H262" i="8"/>
  <c r="G262" i="8"/>
  <c r="E262" i="8"/>
  <c r="D262" i="8"/>
  <c r="S261" i="8"/>
  <c r="N261" i="8"/>
  <c r="P261" i="8" s="1"/>
  <c r="K261" i="8"/>
  <c r="L261" i="8" s="1"/>
  <c r="J261" i="8"/>
  <c r="H261" i="8"/>
  <c r="G261" i="8"/>
  <c r="F261" i="8"/>
  <c r="E261" i="8"/>
  <c r="V261" i="8" s="1"/>
  <c r="D261" i="8"/>
  <c r="V260" i="8"/>
  <c r="U260" i="8"/>
  <c r="W260" i="8" s="1"/>
  <c r="T260" i="8"/>
  <c r="P260" i="8"/>
  <c r="L260" i="8"/>
  <c r="I260" i="8"/>
  <c r="F260" i="8"/>
  <c r="U259" i="8"/>
  <c r="T259" i="8"/>
  <c r="P259" i="8"/>
  <c r="L259" i="8"/>
  <c r="I259" i="8"/>
  <c r="E259" i="8"/>
  <c r="V259" i="8" s="1"/>
  <c r="W259" i="8" s="1"/>
  <c r="V258" i="8"/>
  <c r="U258" i="8"/>
  <c r="T258" i="8"/>
  <c r="F258" i="8"/>
  <c r="S257" i="8"/>
  <c r="O257" i="8"/>
  <c r="N257" i="8"/>
  <c r="K257" i="8"/>
  <c r="L257" i="8" s="1"/>
  <c r="J257" i="8"/>
  <c r="H257" i="8"/>
  <c r="I257" i="8" s="1"/>
  <c r="G257" i="8"/>
  <c r="F257" i="8"/>
  <c r="E257" i="8"/>
  <c r="D257" i="8"/>
  <c r="V256" i="8"/>
  <c r="W256" i="8" s="1"/>
  <c r="U256" i="8"/>
  <c r="T256" i="8"/>
  <c r="P256" i="8"/>
  <c r="L256" i="8"/>
  <c r="I256" i="8"/>
  <c r="S255" i="8"/>
  <c r="O255" i="8"/>
  <c r="N255" i="8"/>
  <c r="K255" i="8"/>
  <c r="AF266" i="8" s="1"/>
  <c r="AG266" i="8" s="1"/>
  <c r="J255" i="8"/>
  <c r="AE266" i="8" s="1"/>
  <c r="H255" i="8"/>
  <c r="G255" i="8"/>
  <c r="AB266" i="8" s="1"/>
  <c r="E255" i="8"/>
  <c r="F255" i="8" s="1"/>
  <c r="D255" i="8"/>
  <c r="S254" i="8"/>
  <c r="O254" i="8"/>
  <c r="O285" i="8" s="1"/>
  <c r="O10" i="8" s="1"/>
  <c r="N254" i="8"/>
  <c r="K254" i="8"/>
  <c r="J254" i="8"/>
  <c r="H254" i="8"/>
  <c r="G254" i="8"/>
  <c r="E254" i="8"/>
  <c r="F254" i="8" s="1"/>
  <c r="D254" i="8"/>
  <c r="V253" i="8"/>
  <c r="W253" i="8" s="1"/>
  <c r="U253" i="8"/>
  <c r="T253" i="8"/>
  <c r="P253" i="8"/>
  <c r="L253" i="8"/>
  <c r="I253" i="8"/>
  <c r="F253" i="8"/>
  <c r="V252" i="8"/>
  <c r="U252" i="8"/>
  <c r="T252" i="8"/>
  <c r="I252" i="8"/>
  <c r="F252" i="8"/>
  <c r="S251" i="8"/>
  <c r="N251" i="8"/>
  <c r="P251" i="8" s="1"/>
  <c r="M251" i="8"/>
  <c r="L251" i="8"/>
  <c r="K251" i="8"/>
  <c r="J251" i="8"/>
  <c r="H251" i="8"/>
  <c r="G251" i="8"/>
  <c r="P250" i="8"/>
  <c r="K250" i="8"/>
  <c r="AF254" i="8" s="1"/>
  <c r="J250" i="8"/>
  <c r="I250" i="8"/>
  <c r="H250" i="8"/>
  <c r="G250" i="8"/>
  <c r="E250" i="8"/>
  <c r="D250" i="8"/>
  <c r="V249" i="8"/>
  <c r="U249" i="8"/>
  <c r="S249" i="8"/>
  <c r="P249" i="8"/>
  <c r="N249" i="8"/>
  <c r="F249" i="8"/>
  <c r="D249" i="8"/>
  <c r="T248" i="8"/>
  <c r="R238" i="8"/>
  <c r="Q238" i="8"/>
  <c r="Q8" i="8" s="1"/>
  <c r="O238" i="8"/>
  <c r="M238" i="8"/>
  <c r="C237" i="8"/>
  <c r="V236" i="8"/>
  <c r="U236" i="8"/>
  <c r="T236" i="8"/>
  <c r="V235" i="8"/>
  <c r="U235" i="8"/>
  <c r="T235" i="8"/>
  <c r="V234" i="8"/>
  <c r="U234" i="8"/>
  <c r="P234" i="8"/>
  <c r="V233" i="8"/>
  <c r="U233" i="8"/>
  <c r="T233" i="8"/>
  <c r="P233" i="8"/>
  <c r="P232" i="8"/>
  <c r="H232" i="8"/>
  <c r="G232" i="8"/>
  <c r="E232" i="8"/>
  <c r="F232" i="8" s="1"/>
  <c r="D232" i="8"/>
  <c r="U232" i="8" s="1"/>
  <c r="S231" i="8"/>
  <c r="N231" i="8"/>
  <c r="P231" i="8" s="1"/>
  <c r="K231" i="8"/>
  <c r="L231" i="8" s="1"/>
  <c r="J231" i="8"/>
  <c r="G231" i="8"/>
  <c r="U231" i="8" s="1"/>
  <c r="Z230" i="8"/>
  <c r="S230" i="8"/>
  <c r="O230" i="8"/>
  <c r="P230" i="8" s="1"/>
  <c r="N230" i="8"/>
  <c r="K230" i="8"/>
  <c r="J230" i="8"/>
  <c r="I230" i="8"/>
  <c r="H230" i="8"/>
  <c r="AD230" i="8" s="1"/>
  <c r="G230" i="8"/>
  <c r="E230" i="8"/>
  <c r="E238" i="8" s="1"/>
  <c r="D230" i="8"/>
  <c r="S229" i="8"/>
  <c r="N229" i="8"/>
  <c r="P229" i="8" s="1"/>
  <c r="L229" i="8"/>
  <c r="K229" i="8"/>
  <c r="J229" i="8"/>
  <c r="I229" i="8"/>
  <c r="H229" i="8"/>
  <c r="G229" i="8"/>
  <c r="D229" i="8"/>
  <c r="AE228" i="8"/>
  <c r="AD228" i="8"/>
  <c r="AC228" i="8"/>
  <c r="AA228" i="8"/>
  <c r="Z228" i="8"/>
  <c r="Y228" i="8"/>
  <c r="V228" i="8"/>
  <c r="U228" i="8"/>
  <c r="W228" i="8" s="1"/>
  <c r="T228" i="8"/>
  <c r="P228" i="8"/>
  <c r="L228" i="8"/>
  <c r="I228" i="8"/>
  <c r="F228" i="8"/>
  <c r="V227" i="8"/>
  <c r="U227" i="8"/>
  <c r="T227" i="8"/>
  <c r="P227" i="8"/>
  <c r="L227" i="8"/>
  <c r="I227" i="8"/>
  <c r="F227" i="8"/>
  <c r="Z226" i="8"/>
  <c r="S226" i="8"/>
  <c r="N226" i="8"/>
  <c r="P226" i="8" s="1"/>
  <c r="K226" i="8"/>
  <c r="L226" i="8" s="1"/>
  <c r="J226" i="8"/>
  <c r="H226" i="8"/>
  <c r="G226" i="8"/>
  <c r="D226" i="8"/>
  <c r="F226" i="8" s="1"/>
  <c r="V225" i="8"/>
  <c r="W225" i="8" s="1"/>
  <c r="U225" i="8"/>
  <c r="T225" i="8"/>
  <c r="I225" i="8"/>
  <c r="F225" i="8"/>
  <c r="K224" i="8"/>
  <c r="V224" i="8" s="1"/>
  <c r="J224" i="8"/>
  <c r="D224" i="8"/>
  <c r="V223" i="8"/>
  <c r="S223" i="8"/>
  <c r="N223" i="8"/>
  <c r="L223" i="8"/>
  <c r="K223" i="8"/>
  <c r="J223" i="8"/>
  <c r="H223" i="8"/>
  <c r="G223" i="8"/>
  <c r="I223" i="8" s="1"/>
  <c r="D223" i="8"/>
  <c r="R210" i="8"/>
  <c r="Q210" i="8"/>
  <c r="O210" i="8"/>
  <c r="M210" i="8"/>
  <c r="E210" i="8"/>
  <c r="E16" i="8" s="1"/>
  <c r="C209" i="8"/>
  <c r="T208" i="8"/>
  <c r="T207" i="8"/>
  <c r="T206" i="8"/>
  <c r="T205" i="8"/>
  <c r="T204" i="8"/>
  <c r="T203" i="8"/>
  <c r="T202" i="8"/>
  <c r="T201" i="8"/>
  <c r="T200" i="8"/>
  <c r="T199" i="8"/>
  <c r="T198" i="8"/>
  <c r="T197" i="8"/>
  <c r="T196" i="8"/>
  <c r="T195" i="8"/>
  <c r="V194" i="8"/>
  <c r="U194" i="8"/>
  <c r="T194" i="8"/>
  <c r="P194" i="8"/>
  <c r="U193" i="8"/>
  <c r="T193" i="8"/>
  <c r="K193" i="8"/>
  <c r="L193" i="8" s="1"/>
  <c r="H193" i="8"/>
  <c r="I193" i="8" s="1"/>
  <c r="F193" i="8"/>
  <c r="E193" i="8"/>
  <c r="V193" i="8" s="1"/>
  <c r="W193" i="8" s="1"/>
  <c r="S192" i="8"/>
  <c r="S210" i="8" s="1"/>
  <c r="N192" i="8"/>
  <c r="N210" i="8" s="1"/>
  <c r="K192" i="8"/>
  <c r="L192" i="8" s="1"/>
  <c r="J192" i="8"/>
  <c r="J210" i="8" s="1"/>
  <c r="J16" i="8" s="1"/>
  <c r="H192" i="8"/>
  <c r="G192" i="8"/>
  <c r="G210" i="8" s="1"/>
  <c r="G16" i="8" s="1"/>
  <c r="F192" i="8"/>
  <c r="D192" i="8"/>
  <c r="R181" i="8"/>
  <c r="Q181" i="8"/>
  <c r="O181" i="8"/>
  <c r="O12" i="8" s="1"/>
  <c r="M181" i="8"/>
  <c r="E181" i="8"/>
  <c r="C180" i="8"/>
  <c r="V177" i="8"/>
  <c r="U177" i="8"/>
  <c r="T177" i="8"/>
  <c r="L177" i="8"/>
  <c r="K177" i="8"/>
  <c r="V176" i="8"/>
  <c r="U176" i="8"/>
  <c r="T176" i="8"/>
  <c r="P176" i="8"/>
  <c r="L176" i="8"/>
  <c r="I176" i="8"/>
  <c r="V175" i="8"/>
  <c r="U175" i="8"/>
  <c r="T175" i="8"/>
  <c r="L175" i="8"/>
  <c r="V174" i="8"/>
  <c r="U174" i="8"/>
  <c r="T174" i="8"/>
  <c r="V173" i="8"/>
  <c r="U173" i="8"/>
  <c r="T173" i="8"/>
  <c r="F173" i="8"/>
  <c r="V172" i="8"/>
  <c r="W172" i="8" s="1"/>
  <c r="U172" i="8"/>
  <c r="T172" i="8"/>
  <c r="I172" i="8"/>
  <c r="V171" i="8"/>
  <c r="U171" i="8"/>
  <c r="T171" i="8"/>
  <c r="I171" i="8"/>
  <c r="W170" i="8"/>
  <c r="V170" i="8"/>
  <c r="U170" i="8"/>
  <c r="T170" i="8"/>
  <c r="P170" i="8"/>
  <c r="L170" i="8"/>
  <c r="I170" i="8"/>
  <c r="V169" i="8"/>
  <c r="U169" i="8"/>
  <c r="T169" i="8"/>
  <c r="P169" i="8"/>
  <c r="L169" i="8"/>
  <c r="I169" i="8"/>
  <c r="V168" i="8"/>
  <c r="U168" i="8"/>
  <c r="W168" i="8" s="1"/>
  <c r="T168" i="8"/>
  <c r="P168" i="8"/>
  <c r="L168" i="8"/>
  <c r="I168" i="8"/>
  <c r="V167" i="8"/>
  <c r="W167" i="8" s="1"/>
  <c r="U167" i="8"/>
  <c r="T167" i="8"/>
  <c r="P167" i="8"/>
  <c r="L167" i="8"/>
  <c r="I167" i="8"/>
  <c r="V166" i="8"/>
  <c r="W166" i="8" s="1"/>
  <c r="U166" i="8"/>
  <c r="T166" i="8"/>
  <c r="P166" i="8"/>
  <c r="L166" i="8"/>
  <c r="I166" i="8"/>
  <c r="V165" i="8"/>
  <c r="U165" i="8"/>
  <c r="T165" i="8"/>
  <c r="P165" i="8"/>
  <c r="L165" i="8"/>
  <c r="I165" i="8"/>
  <c r="V164" i="8"/>
  <c r="U164" i="8"/>
  <c r="T164" i="8"/>
  <c r="P164" i="8"/>
  <c r="L164" i="8"/>
  <c r="I164" i="8"/>
  <c r="V163" i="8"/>
  <c r="U163" i="8"/>
  <c r="T163" i="8"/>
  <c r="P163" i="8"/>
  <c r="L163" i="8"/>
  <c r="I163" i="8"/>
  <c r="W162" i="8"/>
  <c r="V162" i="8"/>
  <c r="U162" i="8"/>
  <c r="T162" i="8"/>
  <c r="P162" i="8"/>
  <c r="L162" i="8"/>
  <c r="I162" i="8"/>
  <c r="V161" i="8"/>
  <c r="U161" i="8"/>
  <c r="T161" i="8"/>
  <c r="P161" i="8"/>
  <c r="L161" i="8"/>
  <c r="I161" i="8"/>
  <c r="V160" i="8"/>
  <c r="W160" i="8" s="1"/>
  <c r="U160" i="8"/>
  <c r="T160" i="8"/>
  <c r="P160" i="8"/>
  <c r="L160" i="8"/>
  <c r="I160" i="8"/>
  <c r="V159" i="8"/>
  <c r="W159" i="8" s="1"/>
  <c r="U159" i="8"/>
  <c r="T159" i="8"/>
  <c r="P159" i="8"/>
  <c r="L159" i="8"/>
  <c r="I159" i="8"/>
  <c r="V158" i="8"/>
  <c r="W158" i="8" s="1"/>
  <c r="U158" i="8"/>
  <c r="T158" i="8"/>
  <c r="P158" i="8"/>
  <c r="L158" i="8"/>
  <c r="I158" i="8"/>
  <c r="V157" i="8"/>
  <c r="U157" i="8"/>
  <c r="T157" i="8"/>
  <c r="P157" i="8"/>
  <c r="L157" i="8"/>
  <c r="I157" i="8"/>
  <c r="S156" i="8"/>
  <c r="N156" i="8"/>
  <c r="P156" i="8" s="1"/>
  <c r="K156" i="8"/>
  <c r="J156" i="8"/>
  <c r="H156" i="8"/>
  <c r="G156" i="8"/>
  <c r="D156" i="8"/>
  <c r="F156" i="8" s="1"/>
  <c r="AB155" i="8"/>
  <c r="Z155" i="8"/>
  <c r="Y155" i="8"/>
  <c r="V155" i="8"/>
  <c r="W155" i="8" s="1"/>
  <c r="U155" i="8"/>
  <c r="T155" i="8"/>
  <c r="P155" i="8"/>
  <c r="L155" i="8"/>
  <c r="I155" i="8"/>
  <c r="F155" i="8"/>
  <c r="V154" i="8"/>
  <c r="W154" i="8" s="1"/>
  <c r="U154" i="8"/>
  <c r="T154" i="8"/>
  <c r="I154" i="8"/>
  <c r="F154" i="8"/>
  <c r="S153" i="8"/>
  <c r="N153" i="8"/>
  <c r="N181" i="8" s="1"/>
  <c r="N12" i="8" s="1"/>
  <c r="K153" i="8"/>
  <c r="J153" i="8"/>
  <c r="J181" i="8" s="1"/>
  <c r="J12" i="8" s="1"/>
  <c r="H153" i="8"/>
  <c r="I153" i="8" s="1"/>
  <c r="G153" i="8"/>
  <c r="G181" i="8" s="1"/>
  <c r="G12" i="8" s="1"/>
  <c r="D153" i="8"/>
  <c r="U152" i="8"/>
  <c r="T152" i="8"/>
  <c r="P152" i="8"/>
  <c r="L152" i="8"/>
  <c r="K152" i="8"/>
  <c r="V152" i="8" s="1"/>
  <c r="I152" i="8"/>
  <c r="F152" i="8"/>
  <c r="V151" i="8"/>
  <c r="U151" i="8"/>
  <c r="T151" i="8"/>
  <c r="P151" i="8"/>
  <c r="L151" i="8"/>
  <c r="I151" i="8"/>
  <c r="F151" i="8"/>
  <c r="T150" i="8"/>
  <c r="R139" i="8"/>
  <c r="Q139" i="8"/>
  <c r="O139" i="8"/>
  <c r="O22" i="8" s="1"/>
  <c r="V138" i="8"/>
  <c r="C138" i="8"/>
  <c r="V137" i="8"/>
  <c r="U137" i="8"/>
  <c r="T137" i="8"/>
  <c r="P137" i="8"/>
  <c r="L137" i="8"/>
  <c r="I137" i="8"/>
  <c r="F137" i="8"/>
  <c r="S136" i="8"/>
  <c r="N136" i="8"/>
  <c r="P136" i="8" s="1"/>
  <c r="K136" i="8"/>
  <c r="V136" i="8" s="1"/>
  <c r="J136" i="8"/>
  <c r="I136" i="8"/>
  <c r="G136" i="8"/>
  <c r="T136" i="8" s="1"/>
  <c r="F136" i="8"/>
  <c r="E136" i="8"/>
  <c r="S135" i="8"/>
  <c r="N135" i="8"/>
  <c r="P135" i="8" s="1"/>
  <c r="M135" i="8"/>
  <c r="K135" i="8"/>
  <c r="L135" i="8" s="1"/>
  <c r="J135" i="8"/>
  <c r="T135" i="8" s="1"/>
  <c r="H135" i="8"/>
  <c r="G135" i="8"/>
  <c r="V134" i="8"/>
  <c r="W134" i="8" s="1"/>
  <c r="U134" i="8"/>
  <c r="T134" i="8"/>
  <c r="P134" i="8"/>
  <c r="I134" i="8"/>
  <c r="S133" i="8"/>
  <c r="N133" i="8"/>
  <c r="P133" i="8" s="1"/>
  <c r="M133" i="8"/>
  <c r="L133" i="8"/>
  <c r="K133" i="8"/>
  <c r="J133" i="8"/>
  <c r="H133" i="8"/>
  <c r="G133" i="8"/>
  <c r="I133" i="8" s="1"/>
  <c r="E133" i="8"/>
  <c r="D133" i="8"/>
  <c r="V132" i="8"/>
  <c r="W132" i="8" s="1"/>
  <c r="U132" i="8"/>
  <c r="T132" i="8"/>
  <c r="L132" i="8"/>
  <c r="U131" i="8"/>
  <c r="T131" i="8"/>
  <c r="O131" i="8"/>
  <c r="P131" i="8" s="1"/>
  <c r="K131" i="8"/>
  <c r="L131" i="8" s="1"/>
  <c r="I131" i="8"/>
  <c r="F131" i="8"/>
  <c r="U130" i="8"/>
  <c r="T130" i="8"/>
  <c r="P130" i="8"/>
  <c r="L130" i="8"/>
  <c r="I130" i="8"/>
  <c r="E130" i="8"/>
  <c r="F130" i="8" s="1"/>
  <c r="P129" i="8"/>
  <c r="E129" i="8"/>
  <c r="V129" i="8" s="1"/>
  <c r="D129" i="8"/>
  <c r="U129" i="8" s="1"/>
  <c r="W128" i="8"/>
  <c r="V128" i="8"/>
  <c r="U128" i="8"/>
  <c r="T128" i="8"/>
  <c r="P128" i="8"/>
  <c r="I128" i="8"/>
  <c r="F128" i="8"/>
  <c r="V127" i="8"/>
  <c r="U127" i="8"/>
  <c r="T127" i="8"/>
  <c r="P127" i="8"/>
  <c r="F127" i="8"/>
  <c r="V126" i="8"/>
  <c r="U126" i="8"/>
  <c r="T126" i="8"/>
  <c r="P126" i="8"/>
  <c r="F126" i="8"/>
  <c r="V125" i="8"/>
  <c r="U125" i="8"/>
  <c r="T125" i="8"/>
  <c r="P125" i="8"/>
  <c r="F125" i="8"/>
  <c r="U124" i="8"/>
  <c r="T124" i="8"/>
  <c r="P124" i="8"/>
  <c r="I124" i="8"/>
  <c r="E124" i="8"/>
  <c r="F124" i="8" s="1"/>
  <c r="V123" i="8"/>
  <c r="U123" i="8"/>
  <c r="W123" i="8" s="1"/>
  <c r="T123" i="8"/>
  <c r="P123" i="8"/>
  <c r="I123" i="8"/>
  <c r="F123" i="8"/>
  <c r="U122" i="8"/>
  <c r="T122" i="8"/>
  <c r="P122" i="8"/>
  <c r="K122" i="8"/>
  <c r="V122" i="8" s="1"/>
  <c r="I122" i="8"/>
  <c r="F122" i="8"/>
  <c r="V121" i="8"/>
  <c r="U121" i="8"/>
  <c r="W121" i="8" s="1"/>
  <c r="T121" i="8"/>
  <c r="P121" i="8"/>
  <c r="L121" i="8"/>
  <c r="I121" i="8"/>
  <c r="F121" i="8"/>
  <c r="V120" i="8"/>
  <c r="U120" i="8"/>
  <c r="T120" i="8"/>
  <c r="P120" i="8"/>
  <c r="L120" i="8"/>
  <c r="I120" i="8"/>
  <c r="F120" i="8"/>
  <c r="V119" i="8"/>
  <c r="U119" i="8"/>
  <c r="W119" i="8" s="1"/>
  <c r="T119" i="8"/>
  <c r="P119" i="8"/>
  <c r="I119" i="8"/>
  <c r="U118" i="8"/>
  <c r="T118" i="8"/>
  <c r="P118" i="8"/>
  <c r="L118" i="8"/>
  <c r="I118" i="8"/>
  <c r="F118" i="8"/>
  <c r="E118" i="8"/>
  <c r="V118" i="8" s="1"/>
  <c r="W118" i="8" s="1"/>
  <c r="W117" i="8"/>
  <c r="V117" i="8"/>
  <c r="U117" i="8"/>
  <c r="T117" i="8"/>
  <c r="P117" i="8"/>
  <c r="L117" i="8"/>
  <c r="I117" i="8"/>
  <c r="F117" i="8"/>
  <c r="W116" i="8"/>
  <c r="V116" i="8"/>
  <c r="U116" i="8"/>
  <c r="T116" i="8"/>
  <c r="P116" i="8"/>
  <c r="L116" i="8"/>
  <c r="I116" i="8"/>
  <c r="F116" i="8"/>
  <c r="W115" i="8"/>
  <c r="V115" i="8"/>
  <c r="U115" i="8"/>
  <c r="T115" i="8"/>
  <c r="P115" i="8"/>
  <c r="L115" i="8"/>
  <c r="I115" i="8"/>
  <c r="F115" i="8"/>
  <c r="K114" i="8"/>
  <c r="J114" i="8"/>
  <c r="H114" i="8"/>
  <c r="G114" i="8"/>
  <c r="D114" i="8"/>
  <c r="U114" i="8" s="1"/>
  <c r="S113" i="8"/>
  <c r="P113" i="8"/>
  <c r="N113" i="8"/>
  <c r="K113" i="8"/>
  <c r="J113" i="8"/>
  <c r="U113" i="8" s="1"/>
  <c r="H113" i="8"/>
  <c r="H139" i="8" s="1"/>
  <c r="H22" i="8" s="1"/>
  <c r="G113" i="8"/>
  <c r="F113" i="8"/>
  <c r="V112" i="8"/>
  <c r="P112" i="8"/>
  <c r="I112" i="8"/>
  <c r="F112" i="8"/>
  <c r="E112" i="8"/>
  <c r="D112" i="8"/>
  <c r="U112" i="8" s="1"/>
  <c r="U111" i="8"/>
  <c r="T111" i="8"/>
  <c r="M111" i="8"/>
  <c r="K111" i="8"/>
  <c r="V111" i="8" s="1"/>
  <c r="I111" i="8"/>
  <c r="F111" i="8"/>
  <c r="U110" i="8"/>
  <c r="T110" i="8"/>
  <c r="P110" i="8"/>
  <c r="K110" i="8"/>
  <c r="V110" i="8" s="1"/>
  <c r="I110" i="8"/>
  <c r="V109" i="8"/>
  <c r="W109" i="8" s="1"/>
  <c r="U109" i="8"/>
  <c r="T109" i="8"/>
  <c r="P109" i="8"/>
  <c r="L109" i="8"/>
  <c r="I109" i="8"/>
  <c r="F109" i="8"/>
  <c r="V108" i="8"/>
  <c r="U108" i="8"/>
  <c r="T108" i="8"/>
  <c r="P108" i="8"/>
  <c r="S107" i="8"/>
  <c r="P107" i="8"/>
  <c r="N107" i="8"/>
  <c r="L107" i="8"/>
  <c r="K107" i="8"/>
  <c r="J107" i="8"/>
  <c r="AF132" i="8" s="1"/>
  <c r="I107" i="8"/>
  <c r="G107" i="8"/>
  <c r="AC132" i="8" s="1"/>
  <c r="D107" i="8"/>
  <c r="F107" i="8" s="1"/>
  <c r="V106" i="8"/>
  <c r="U106" i="8"/>
  <c r="T106" i="8"/>
  <c r="P106" i="8"/>
  <c r="F106" i="8"/>
  <c r="U105" i="8"/>
  <c r="T105" i="8"/>
  <c r="E105" i="8"/>
  <c r="V105" i="8" s="1"/>
  <c r="W105" i="8" s="1"/>
  <c r="V104" i="8"/>
  <c r="U104" i="8"/>
  <c r="W104" i="8" s="1"/>
  <c r="T104" i="8"/>
  <c r="P104" i="8"/>
  <c r="L104" i="8"/>
  <c r="I104" i="8"/>
  <c r="F104" i="8"/>
  <c r="V103" i="8"/>
  <c r="U103" i="8"/>
  <c r="T103" i="8"/>
  <c r="L103" i="8"/>
  <c r="F103" i="8"/>
  <c r="V102" i="8"/>
  <c r="U102" i="8"/>
  <c r="W102" i="8" s="1"/>
  <c r="T102" i="8"/>
  <c r="P102" i="8"/>
  <c r="L102" i="8"/>
  <c r="I102" i="8"/>
  <c r="F102" i="8"/>
  <c r="V101" i="8"/>
  <c r="U101" i="8"/>
  <c r="T101" i="8"/>
  <c r="I101" i="8"/>
  <c r="F101" i="8"/>
  <c r="M91" i="8"/>
  <c r="V90" i="8"/>
  <c r="C90" i="8"/>
  <c r="M89" i="8"/>
  <c r="H89" i="8"/>
  <c r="G89" i="8"/>
  <c r="D89" i="8"/>
  <c r="Z88" i="8"/>
  <c r="V88" i="8"/>
  <c r="W88" i="8" s="1"/>
  <c r="U88" i="8"/>
  <c r="T88" i="8"/>
  <c r="P88" i="8"/>
  <c r="L88" i="8"/>
  <c r="I88" i="8"/>
  <c r="F88" i="8"/>
  <c r="V87" i="8"/>
  <c r="W87" i="8" s="1"/>
  <c r="U87" i="8"/>
  <c r="T87" i="8"/>
  <c r="P87" i="8"/>
  <c r="L87" i="8"/>
  <c r="I87" i="8"/>
  <c r="F87" i="8"/>
  <c r="U86" i="8"/>
  <c r="T86" i="8"/>
  <c r="R86" i="8"/>
  <c r="Q86" i="8"/>
  <c r="K86" i="8"/>
  <c r="L86" i="8" s="1"/>
  <c r="H86" i="8"/>
  <c r="I86" i="8" s="1"/>
  <c r="F86" i="8"/>
  <c r="V85" i="8"/>
  <c r="W85" i="8" s="1"/>
  <c r="U85" i="8"/>
  <c r="T85" i="8"/>
  <c r="P85" i="8"/>
  <c r="L85" i="8"/>
  <c r="I85" i="8"/>
  <c r="F85" i="8"/>
  <c r="T84" i="8"/>
  <c r="S84" i="8"/>
  <c r="P84" i="8"/>
  <c r="N84" i="8"/>
  <c r="K84" i="8"/>
  <c r="J84" i="8"/>
  <c r="H84" i="8"/>
  <c r="V84" i="8" s="1"/>
  <c r="G84" i="8"/>
  <c r="F84" i="8"/>
  <c r="E84" i="8"/>
  <c r="D84" i="8"/>
  <c r="U84" i="8" s="1"/>
  <c r="V83" i="8"/>
  <c r="U83" i="8"/>
  <c r="T83" i="8"/>
  <c r="U82" i="8"/>
  <c r="T82" i="8"/>
  <c r="E82" i="8"/>
  <c r="V81" i="8"/>
  <c r="U81" i="8"/>
  <c r="T81" i="8"/>
  <c r="P81" i="8"/>
  <c r="L81" i="8"/>
  <c r="I81" i="8"/>
  <c r="F81" i="8"/>
  <c r="W80" i="8"/>
  <c r="V80" i="8"/>
  <c r="U80" i="8"/>
  <c r="T80" i="8"/>
  <c r="F80" i="8"/>
  <c r="S79" i="8"/>
  <c r="R79" i="8"/>
  <c r="R91" i="8" s="1"/>
  <c r="R20" i="8" s="1"/>
  <c r="N79" i="8"/>
  <c r="K79" i="8"/>
  <c r="L79" i="8" s="1"/>
  <c r="J79" i="8"/>
  <c r="H79" i="8"/>
  <c r="I79" i="8" s="1"/>
  <c r="G79" i="8"/>
  <c r="E79" i="8"/>
  <c r="D79" i="8"/>
  <c r="V78" i="8"/>
  <c r="U78" i="8"/>
  <c r="T78" i="8"/>
  <c r="P78" i="8"/>
  <c r="S77" i="8"/>
  <c r="N77" i="8"/>
  <c r="P77" i="8" s="1"/>
  <c r="L77" i="8"/>
  <c r="K77" i="8"/>
  <c r="J77" i="8"/>
  <c r="H77" i="8"/>
  <c r="G77" i="8"/>
  <c r="E77" i="8"/>
  <c r="D77" i="8"/>
  <c r="U76" i="8"/>
  <c r="T76" i="8"/>
  <c r="Q76" i="8"/>
  <c r="Q91" i="8" s="1"/>
  <c r="Q20" i="8" s="1"/>
  <c r="P76" i="8"/>
  <c r="K76" i="8"/>
  <c r="L76" i="8" s="1"/>
  <c r="H76" i="8"/>
  <c r="I76" i="8" s="1"/>
  <c r="E76" i="8"/>
  <c r="W75" i="8"/>
  <c r="V75" i="8"/>
  <c r="U75" i="8"/>
  <c r="T75" i="8"/>
  <c r="P75" i="8"/>
  <c r="L75" i="8"/>
  <c r="I75" i="8"/>
  <c r="F75" i="8"/>
  <c r="W74" i="8"/>
  <c r="V74" i="8"/>
  <c r="U74" i="8"/>
  <c r="T74" i="8"/>
  <c r="P74" i="8"/>
  <c r="L74" i="8"/>
  <c r="I74" i="8"/>
  <c r="F74" i="8"/>
  <c r="R63" i="8"/>
  <c r="R18" i="8" s="1"/>
  <c r="V62" i="8"/>
  <c r="C62" i="8"/>
  <c r="U61" i="8"/>
  <c r="T61" i="8"/>
  <c r="K61" i="8"/>
  <c r="J61" i="8"/>
  <c r="V60" i="8"/>
  <c r="U60" i="8"/>
  <c r="T60" i="8"/>
  <c r="L60" i="8"/>
  <c r="V59" i="8"/>
  <c r="U59" i="8"/>
  <c r="T59" i="8"/>
  <c r="V58" i="8"/>
  <c r="U58" i="8"/>
  <c r="T58" i="8"/>
  <c r="I58" i="8"/>
  <c r="S57" i="8"/>
  <c r="N57" i="8"/>
  <c r="P57" i="8" s="1"/>
  <c r="M57" i="8"/>
  <c r="K57" i="8"/>
  <c r="J57" i="8"/>
  <c r="H57" i="8"/>
  <c r="G57" i="8"/>
  <c r="V56" i="8"/>
  <c r="U56" i="8"/>
  <c r="T56" i="8"/>
  <c r="I56" i="8"/>
  <c r="F56" i="8"/>
  <c r="V55" i="8"/>
  <c r="U55" i="8"/>
  <c r="W55" i="8" s="1"/>
  <c r="T55" i="8"/>
  <c r="I55" i="8"/>
  <c r="U54" i="8"/>
  <c r="S54" i="8"/>
  <c r="T54" i="8" s="1"/>
  <c r="O54" i="8"/>
  <c r="O63" i="8" s="1"/>
  <c r="N54" i="8"/>
  <c r="M54" i="8"/>
  <c r="H54" i="8"/>
  <c r="I54" i="8" s="1"/>
  <c r="V53" i="8"/>
  <c r="U53" i="8"/>
  <c r="T53" i="8"/>
  <c r="V52" i="8"/>
  <c r="U52" i="8"/>
  <c r="T52" i="8"/>
  <c r="U51" i="8"/>
  <c r="T51" i="8"/>
  <c r="Q51" i="8"/>
  <c r="V51" i="8" s="1"/>
  <c r="W51" i="8" s="1"/>
  <c r="H51" i="8"/>
  <c r="I51" i="8" s="1"/>
  <c r="V50" i="8"/>
  <c r="U50" i="8"/>
  <c r="T50" i="8"/>
  <c r="P50" i="8"/>
  <c r="L50" i="8"/>
  <c r="I50" i="8"/>
  <c r="F50" i="8"/>
  <c r="S49" i="8"/>
  <c r="N49" i="8"/>
  <c r="P49" i="8" s="1"/>
  <c r="K49" i="8"/>
  <c r="J49" i="8"/>
  <c r="H49" i="8"/>
  <c r="G49" i="8"/>
  <c r="D49" i="8"/>
  <c r="F49" i="8" s="1"/>
  <c r="V48" i="8"/>
  <c r="U48" i="8"/>
  <c r="T48" i="8"/>
  <c r="V47" i="8"/>
  <c r="U47" i="8"/>
  <c r="T47" i="8"/>
  <c r="S46" i="8"/>
  <c r="N46" i="8"/>
  <c r="P46" i="8" s="1"/>
  <c r="K46" i="8"/>
  <c r="L46" i="8" s="1"/>
  <c r="J46" i="8"/>
  <c r="H46" i="8"/>
  <c r="I46" i="8" s="1"/>
  <c r="G46" i="8"/>
  <c r="E46" i="8"/>
  <c r="E63" i="8" s="1"/>
  <c r="D46" i="8"/>
  <c r="U46" i="8" s="1"/>
  <c r="W45" i="8"/>
  <c r="V45" i="8"/>
  <c r="U45" i="8"/>
  <c r="T45" i="8"/>
  <c r="F45" i="8"/>
  <c r="V44" i="8"/>
  <c r="U44" i="8"/>
  <c r="T44" i="8"/>
  <c r="P44" i="8"/>
  <c r="L44" i="8"/>
  <c r="I44" i="8"/>
  <c r="F44" i="8"/>
  <c r="V43" i="8"/>
  <c r="W43" i="8" s="1"/>
  <c r="U43" i="8"/>
  <c r="T43" i="8"/>
  <c r="P43" i="8"/>
  <c r="L43" i="8"/>
  <c r="I43" i="8"/>
  <c r="F43" i="8"/>
  <c r="V42" i="8"/>
  <c r="U42" i="8"/>
  <c r="T42" i="8"/>
  <c r="P42" i="8"/>
  <c r="L42" i="8"/>
  <c r="I42" i="8"/>
  <c r="F42" i="8"/>
  <c r="V41" i="8"/>
  <c r="U41" i="8"/>
  <c r="T41" i="8"/>
  <c r="P41" i="8"/>
  <c r="L41" i="8"/>
  <c r="I41" i="8"/>
  <c r="F41" i="8"/>
  <c r="V40" i="8"/>
  <c r="U40" i="8"/>
  <c r="T40" i="8"/>
  <c r="I40" i="8"/>
  <c r="V39" i="8"/>
  <c r="U39" i="8"/>
  <c r="T39" i="8"/>
  <c r="P39" i="8"/>
  <c r="L39" i="8"/>
  <c r="I39" i="8"/>
  <c r="F39" i="8"/>
  <c r="V38" i="8"/>
  <c r="S38" i="8"/>
  <c r="N38" i="8"/>
  <c r="N63" i="8" s="1"/>
  <c r="N18" i="8" s="1"/>
  <c r="K38" i="8"/>
  <c r="K63" i="8" s="1"/>
  <c r="K18" i="8" s="1"/>
  <c r="J38" i="8"/>
  <c r="H38" i="8"/>
  <c r="G38" i="8"/>
  <c r="D38" i="8"/>
  <c r="V37" i="8"/>
  <c r="W37" i="8" s="1"/>
  <c r="U37" i="8"/>
  <c r="T37" i="8"/>
  <c r="P37" i="8"/>
  <c r="L37" i="8"/>
  <c r="I37" i="8"/>
  <c r="F37" i="8"/>
  <c r="C26" i="8"/>
  <c r="R22" i="8"/>
  <c r="Q22" i="8"/>
  <c r="M20" i="8"/>
  <c r="S16" i="8"/>
  <c r="R16" i="8"/>
  <c r="Q16" i="8"/>
  <c r="O16" i="8"/>
  <c r="P16" i="8" s="1"/>
  <c r="N16" i="8"/>
  <c r="M16" i="8"/>
  <c r="V14" i="8"/>
  <c r="U14" i="8"/>
  <c r="T14" i="8"/>
  <c r="R12" i="8"/>
  <c r="Q12" i="8"/>
  <c r="M12" i="8"/>
  <c r="E12" i="8"/>
  <c r="R10" i="8"/>
  <c r="Q10" i="8"/>
  <c r="R8" i="8"/>
  <c r="O8" i="8"/>
  <c r="M8" i="8"/>
  <c r="E8" i="8"/>
  <c r="AF10" i="7"/>
  <c r="D63" i="8" l="1"/>
  <c r="W42" i="8"/>
  <c r="I57" i="8"/>
  <c r="U77" i="8"/>
  <c r="U79" i="8"/>
  <c r="I89" i="8"/>
  <c r="F105" i="8"/>
  <c r="W106" i="8"/>
  <c r="N139" i="8"/>
  <c r="N22" i="8" s="1"/>
  <c r="L110" i="8"/>
  <c r="L111" i="8"/>
  <c r="I113" i="8"/>
  <c r="M139" i="8"/>
  <c r="M22" i="8" s="1"/>
  <c r="S181" i="8"/>
  <c r="S12" i="8" s="1"/>
  <c r="W169" i="8"/>
  <c r="U229" i="8"/>
  <c r="I231" i="8"/>
  <c r="T255" i="8"/>
  <c r="P255" i="8"/>
  <c r="F259" i="8"/>
  <c r="F269" i="8"/>
  <c r="F271" i="8"/>
  <c r="T271" i="8"/>
  <c r="L274" i="8"/>
  <c r="W129" i="8"/>
  <c r="W41" i="8"/>
  <c r="V77" i="8"/>
  <c r="L84" i="8"/>
  <c r="I114" i="8"/>
  <c r="W122" i="8"/>
  <c r="W126" i="8"/>
  <c r="T129" i="8"/>
  <c r="W151" i="8"/>
  <c r="U156" i="8"/>
  <c r="W164" i="8"/>
  <c r="W176" i="8"/>
  <c r="H181" i="8"/>
  <c r="H12" i="8" s="1"/>
  <c r="I12" i="8" s="1"/>
  <c r="V192" i="8"/>
  <c r="H210" i="8"/>
  <c r="H16" i="8" s="1"/>
  <c r="W227" i="8"/>
  <c r="F229" i="8"/>
  <c r="V230" i="8"/>
  <c r="U250" i="8"/>
  <c r="V262" i="8"/>
  <c r="I277" i="8"/>
  <c r="V283" i="8"/>
  <c r="W283" i="8" s="1"/>
  <c r="W84" i="8"/>
  <c r="G63" i="8"/>
  <c r="G18" i="8" s="1"/>
  <c r="I38" i="8"/>
  <c r="W40" i="8"/>
  <c r="W50" i="8"/>
  <c r="L57" i="8"/>
  <c r="L61" i="8"/>
  <c r="F77" i="8"/>
  <c r="S91" i="8"/>
  <c r="S20" i="8" s="1"/>
  <c r="W101" i="8"/>
  <c r="S139" i="8"/>
  <c r="S22" i="8" s="1"/>
  <c r="T112" i="8"/>
  <c r="V130" i="8"/>
  <c r="W130" i="8" s="1"/>
  <c r="W163" i="8"/>
  <c r="J238" i="8"/>
  <c r="J8" i="8" s="1"/>
  <c r="AC230" i="8"/>
  <c r="T249" i="8"/>
  <c r="Z254" i="8"/>
  <c r="V251" i="8"/>
  <c r="W251" i="8" s="1"/>
  <c r="L254" i="8"/>
  <c r="V257" i="8"/>
  <c r="F262" i="8"/>
  <c r="Z275" i="8"/>
  <c r="V271" i="8"/>
  <c r="W273" i="8"/>
  <c r="L275" i="8"/>
  <c r="J63" i="8"/>
  <c r="J18" i="8" s="1"/>
  <c r="T49" i="8"/>
  <c r="T77" i="8"/>
  <c r="W81" i="8"/>
  <c r="W111" i="8"/>
  <c r="W125" i="8"/>
  <c r="V131" i="8"/>
  <c r="W131" i="8" s="1"/>
  <c r="V135" i="8"/>
  <c r="W135" i="8" s="1"/>
  <c r="L156" i="8"/>
  <c r="W157" i="8"/>
  <c r="W173" i="8"/>
  <c r="P12" i="8"/>
  <c r="V226" i="8"/>
  <c r="W226" i="8" s="1"/>
  <c r="AC226" i="8"/>
  <c r="H238" i="8"/>
  <c r="W264" i="8"/>
  <c r="U281" i="8"/>
  <c r="T46" i="8"/>
  <c r="AF84" i="8"/>
  <c r="J91" i="8"/>
  <c r="J20" i="8" s="1"/>
  <c r="K91" i="8"/>
  <c r="L91" i="8" s="1"/>
  <c r="W112" i="8"/>
  <c r="U135" i="8"/>
  <c r="P210" i="8"/>
  <c r="G238" i="8"/>
  <c r="G8" i="8" s="1"/>
  <c r="AC266" i="8"/>
  <c r="I267" i="8"/>
  <c r="Y275" i="8"/>
  <c r="V274" i="8"/>
  <c r="W276" i="8"/>
  <c r="G139" i="8"/>
  <c r="G22" i="8" s="1"/>
  <c r="I22" i="8" s="1"/>
  <c r="T232" i="8"/>
  <c r="AE275" i="8"/>
  <c r="T270" i="8"/>
  <c r="W282" i="8"/>
  <c r="W39" i="8"/>
  <c r="W44" i="8"/>
  <c r="W56" i="8"/>
  <c r="V86" i="8"/>
  <c r="W86" i="8" s="1"/>
  <c r="W103" i="8"/>
  <c r="V113" i="8"/>
  <c r="W113" i="8" s="1"/>
  <c r="W120" i="8"/>
  <c r="W127" i="8"/>
  <c r="L136" i="8"/>
  <c r="V153" i="8"/>
  <c r="AA155" i="8"/>
  <c r="W161" i="8"/>
  <c r="W165" i="8"/>
  <c r="W177" i="8"/>
  <c r="W194" i="8"/>
  <c r="S238" i="8"/>
  <c r="S8" i="8" s="1"/>
  <c r="T231" i="8"/>
  <c r="S285" i="8"/>
  <c r="S10" i="8" s="1"/>
  <c r="M285" i="8"/>
  <c r="M10" i="8" s="1"/>
  <c r="W252" i="8"/>
  <c r="P254" i="8"/>
  <c r="L255" i="8"/>
  <c r="W258" i="8"/>
  <c r="L263" i="8"/>
  <c r="W272" i="8"/>
  <c r="U274" i="8"/>
  <c r="AA275" i="8"/>
  <c r="I16" i="8"/>
  <c r="W171" i="8"/>
  <c r="W175" i="8"/>
  <c r="P181" i="8"/>
  <c r="P22" i="8"/>
  <c r="P139" i="8"/>
  <c r="W58" i="8"/>
  <c r="L18" i="8"/>
  <c r="F63" i="8"/>
  <c r="R26" i="8"/>
  <c r="E18" i="8"/>
  <c r="I238" i="8"/>
  <c r="H8" i="8"/>
  <c r="D18" i="8"/>
  <c r="P63" i="8"/>
  <c r="O18" i="8"/>
  <c r="P18" i="8" s="1"/>
  <c r="W77" i="8"/>
  <c r="N91" i="8"/>
  <c r="N20" i="8" s="1"/>
  <c r="O79" i="8"/>
  <c r="K238" i="8"/>
  <c r="AE254" i="8"/>
  <c r="AG254" i="8" s="1"/>
  <c r="L250" i="8"/>
  <c r="J285" i="8"/>
  <c r="J10" i="8" s="1"/>
  <c r="L38" i="8"/>
  <c r="I49" i="8"/>
  <c r="G91" i="8"/>
  <c r="G20" i="8" s="1"/>
  <c r="AE84" i="8"/>
  <c r="AG84" i="8" s="1"/>
  <c r="F79" i="8"/>
  <c r="I84" i="8"/>
  <c r="V89" i="8"/>
  <c r="W110" i="8"/>
  <c r="L114" i="8"/>
  <c r="I135" i="8"/>
  <c r="U136" i="8"/>
  <c r="W137" i="8"/>
  <c r="N238" i="8"/>
  <c r="P223" i="8"/>
  <c r="U226" i="8"/>
  <c r="I226" i="8"/>
  <c r="T226" i="8"/>
  <c r="I232" i="8"/>
  <c r="W249" i="8"/>
  <c r="T267" i="8"/>
  <c r="U267" i="8"/>
  <c r="W267" i="8" s="1"/>
  <c r="W271" i="8"/>
  <c r="U278" i="8"/>
  <c r="W136" i="8"/>
  <c r="V278" i="8"/>
  <c r="F278" i="8"/>
  <c r="F38" i="8"/>
  <c r="P38" i="8"/>
  <c r="L49" i="8"/>
  <c r="P54" i="8"/>
  <c r="U57" i="8"/>
  <c r="T57" i="8"/>
  <c r="V57" i="8"/>
  <c r="V61" i="8"/>
  <c r="W61" i="8" s="1"/>
  <c r="I77" i="8"/>
  <c r="Y80" i="8"/>
  <c r="Z80" i="8" s="1"/>
  <c r="E139" i="8"/>
  <c r="AG132" i="8"/>
  <c r="AH132" i="8" s="1"/>
  <c r="W108" i="8"/>
  <c r="T113" i="8"/>
  <c r="Z132" i="8"/>
  <c r="W152" i="8"/>
  <c r="T156" i="8"/>
  <c r="I210" i="8"/>
  <c r="Y226" i="8"/>
  <c r="AA226" i="8" s="1"/>
  <c r="D238" i="8"/>
  <c r="F238" i="8" s="1"/>
  <c r="U223" i="8"/>
  <c r="W223" i="8" s="1"/>
  <c r="T223" i="8"/>
  <c r="F223" i="8"/>
  <c r="V229" i="8"/>
  <c r="L230" i="8"/>
  <c r="U251" i="8"/>
  <c r="T251" i="8"/>
  <c r="I251" i="8"/>
  <c r="I254" i="8"/>
  <c r="H285" i="8"/>
  <c r="AB254" i="8"/>
  <c r="H63" i="8"/>
  <c r="S63" i="8"/>
  <c r="S18" i="8" s="1"/>
  <c r="S26" i="8" s="1"/>
  <c r="U89" i="8"/>
  <c r="T89" i="8"/>
  <c r="Y88" i="8"/>
  <c r="AA88" i="8" s="1"/>
  <c r="U153" i="8"/>
  <c r="U224" i="8"/>
  <c r="W224" i="8" s="1"/>
  <c r="T224" i="8"/>
  <c r="U230" i="8"/>
  <c r="W230" i="8" s="1"/>
  <c r="T230" i="8"/>
  <c r="F230" i="8"/>
  <c r="G285" i="8"/>
  <c r="G10" i="8" s="1"/>
  <c r="U261" i="8"/>
  <c r="W261" i="8" s="1"/>
  <c r="T261" i="8"/>
  <c r="AF275" i="8"/>
  <c r="AG275" i="8" s="1"/>
  <c r="L267" i="8"/>
  <c r="AE230" i="8"/>
  <c r="L63" i="8"/>
  <c r="T38" i="8"/>
  <c r="F46" i="8"/>
  <c r="E91" i="8"/>
  <c r="Z84" i="8"/>
  <c r="V76" i="8"/>
  <c r="W76" i="8" s="1"/>
  <c r="V82" i="8"/>
  <c r="W82" i="8" s="1"/>
  <c r="F82" i="8"/>
  <c r="F89" i="8"/>
  <c r="H91" i="8"/>
  <c r="U133" i="8"/>
  <c r="T133" i="8"/>
  <c r="I139" i="8"/>
  <c r="P192" i="8"/>
  <c r="F224" i="8"/>
  <c r="V238" i="8"/>
  <c r="V232" i="8"/>
  <c r="W232" i="8" s="1"/>
  <c r="N285" i="8"/>
  <c r="N10" i="8" s="1"/>
  <c r="P10" i="8" s="1"/>
  <c r="V255" i="8"/>
  <c r="Z266" i="8"/>
  <c r="AA266" i="8" s="1"/>
  <c r="U257" i="8"/>
  <c r="P257" i="8"/>
  <c r="I261" i="8"/>
  <c r="T79" i="8"/>
  <c r="U254" i="8"/>
  <c r="T254" i="8"/>
  <c r="K20" i="8"/>
  <c r="L20" i="8" s="1"/>
  <c r="U38" i="8"/>
  <c r="W38" i="8" s="1"/>
  <c r="V46" i="8"/>
  <c r="W46" i="8" s="1"/>
  <c r="U49" i="8"/>
  <c r="W60" i="8"/>
  <c r="F76" i="8"/>
  <c r="F91" i="8" s="1"/>
  <c r="D91" i="8"/>
  <c r="Y84" i="8"/>
  <c r="Y132" i="8"/>
  <c r="D139" i="8"/>
  <c r="U107" i="8"/>
  <c r="T107" i="8"/>
  <c r="J139" i="8"/>
  <c r="J22" i="8" s="1"/>
  <c r="J26" i="8" s="1"/>
  <c r="L113" i="8"/>
  <c r="V133" i="8"/>
  <c r="W133" i="8" s="1"/>
  <c r="F133" i="8"/>
  <c r="V156" i="8"/>
  <c r="W156" i="8" s="1"/>
  <c r="I156" i="8"/>
  <c r="D210" i="8"/>
  <c r="U192" i="8"/>
  <c r="W192" i="8" s="1"/>
  <c r="T192" i="8"/>
  <c r="W257" i="8"/>
  <c r="AC275" i="8"/>
  <c r="AD275" i="8" s="1"/>
  <c r="V270" i="8"/>
  <c r="W270" i="8" s="1"/>
  <c r="W281" i="8"/>
  <c r="U262" i="8"/>
  <c r="W262" i="8" s="1"/>
  <c r="T262" i="8"/>
  <c r="U275" i="8"/>
  <c r="W275" i="8" s="1"/>
  <c r="T275" i="8"/>
  <c r="V49" i="8"/>
  <c r="W49" i="8" s="1"/>
  <c r="M63" i="8"/>
  <c r="M18" i="8" s="1"/>
  <c r="M26" i="8" s="1"/>
  <c r="V54" i="8"/>
  <c r="W54" i="8" s="1"/>
  <c r="Q63" i="8"/>
  <c r="Q18" i="8" s="1"/>
  <c r="Q26" i="8" s="1"/>
  <c r="L122" i="8"/>
  <c r="F129" i="8"/>
  <c r="K181" i="8"/>
  <c r="V181" i="8" s="1"/>
  <c r="L153" i="8"/>
  <c r="I181" i="8"/>
  <c r="AD266" i="8"/>
  <c r="I262" i="8"/>
  <c r="F264" i="8"/>
  <c r="I275" i="8"/>
  <c r="AD226" i="8"/>
  <c r="AE226" i="8" s="1"/>
  <c r="Y230" i="8"/>
  <c r="AA230" i="8" s="1"/>
  <c r="V231" i="8"/>
  <c r="W231" i="8" s="1"/>
  <c r="AC254" i="8"/>
  <c r="T274" i="8"/>
  <c r="T114" i="8"/>
  <c r="AD132" i="8"/>
  <c r="AE132" i="8" s="1"/>
  <c r="L265" i="8"/>
  <c r="I274" i="8"/>
  <c r="T281" i="8"/>
  <c r="K285" i="8"/>
  <c r="V107" i="8"/>
  <c r="F114" i="8"/>
  <c r="V124" i="8"/>
  <c r="W124" i="8" s="1"/>
  <c r="K139" i="8"/>
  <c r="F153" i="8"/>
  <c r="P153" i="8"/>
  <c r="AC155" i="8"/>
  <c r="AD155" i="8" s="1"/>
  <c r="D181" i="8"/>
  <c r="I192" i="8"/>
  <c r="K210" i="8"/>
  <c r="L224" i="8"/>
  <c r="V254" i="8"/>
  <c r="I255" i="8"/>
  <c r="T257" i="8"/>
  <c r="F267" i="8"/>
  <c r="T277" i="8"/>
  <c r="T278" i="8"/>
  <c r="I281" i="8"/>
  <c r="D285" i="8"/>
  <c r="V114" i="8"/>
  <c r="W114" i="8" s="1"/>
  <c r="T229" i="8"/>
  <c r="F250" i="8"/>
  <c r="T250" i="8"/>
  <c r="U255" i="8"/>
  <c r="E285" i="8"/>
  <c r="T153" i="8"/>
  <c r="Y254" i="8"/>
  <c r="F210" i="8"/>
  <c r="V250" i="8"/>
  <c r="W250" i="8" s="1"/>
  <c r="U63" i="8" l="1"/>
  <c r="W229" i="8"/>
  <c r="W274" i="8"/>
  <c r="W254" i="8"/>
  <c r="AA254" i="8"/>
  <c r="W153" i="8"/>
  <c r="W107" i="8"/>
  <c r="AD254" i="8"/>
  <c r="G26" i="8"/>
  <c r="P285" i="8"/>
  <c r="V63" i="8"/>
  <c r="F18" i="8"/>
  <c r="L210" i="8"/>
  <c r="K16" i="8"/>
  <c r="U285" i="8"/>
  <c r="T285" i="8"/>
  <c r="D10" i="8"/>
  <c r="I285" i="8"/>
  <c r="H10" i="8"/>
  <c r="I10" i="8" s="1"/>
  <c r="AA132" i="8"/>
  <c r="V285" i="8"/>
  <c r="F285" i="8"/>
  <c r="E10" i="8"/>
  <c r="W57" i="8"/>
  <c r="L285" i="8"/>
  <c r="K10" i="8"/>
  <c r="L10" i="8" s="1"/>
  <c r="U210" i="8"/>
  <c r="T210" i="8"/>
  <c r="D16" i="8"/>
  <c r="U238" i="8"/>
  <c r="W238" i="8" s="1"/>
  <c r="T238" i="8"/>
  <c r="D8" i="8"/>
  <c r="W278" i="8"/>
  <c r="F181" i="8"/>
  <c r="U181" i="8"/>
  <c r="W181" i="8" s="1"/>
  <c r="T181" i="8"/>
  <c r="D12" i="8"/>
  <c r="V139" i="8"/>
  <c r="F139" i="8"/>
  <c r="E22" i="8"/>
  <c r="P238" i="8"/>
  <c r="N8" i="8"/>
  <c r="W89" i="8"/>
  <c r="U18" i="8"/>
  <c r="T18" i="8"/>
  <c r="I91" i="8"/>
  <c r="H20" i="8"/>
  <c r="I20" i="8" s="1"/>
  <c r="U139" i="8"/>
  <c r="T139" i="8"/>
  <c r="D22" i="8"/>
  <c r="L181" i="8"/>
  <c r="K12" i="8"/>
  <c r="V210" i="8"/>
  <c r="W210" i="8" s="1"/>
  <c r="T63" i="8"/>
  <c r="AA84" i="8"/>
  <c r="H18" i="8"/>
  <c r="I63" i="8"/>
  <c r="L238" i="8"/>
  <c r="K8" i="8"/>
  <c r="L139" i="8"/>
  <c r="K22" i="8"/>
  <c r="L22" i="8" s="1"/>
  <c r="U91" i="8"/>
  <c r="T91" i="8"/>
  <c r="D20" i="8"/>
  <c r="W255" i="8"/>
  <c r="V91" i="8"/>
  <c r="E20" i="8"/>
  <c r="O91" i="8"/>
  <c r="P79" i="8"/>
  <c r="V79" i="8"/>
  <c r="W79" i="8" s="1"/>
  <c r="I8" i="8"/>
  <c r="W63" i="8" l="1"/>
  <c r="H26" i="8"/>
  <c r="I26" i="8" s="1"/>
  <c r="V22" i="8"/>
  <c r="F22" i="8"/>
  <c r="W139" i="8"/>
  <c r="T10" i="8"/>
  <c r="U10" i="8"/>
  <c r="D26" i="8"/>
  <c r="T8" i="8"/>
  <c r="U8" i="8"/>
  <c r="F8" i="8"/>
  <c r="T12" i="8"/>
  <c r="U12" i="8"/>
  <c r="F12" i="8"/>
  <c r="V10" i="8"/>
  <c r="F10" i="8"/>
  <c r="E26" i="8"/>
  <c r="I18" i="8"/>
  <c r="V18" i="8"/>
  <c r="W18" i="8" s="1"/>
  <c r="O20" i="8"/>
  <c r="P91" i="8"/>
  <c r="L12" i="8"/>
  <c r="V12" i="8"/>
  <c r="F16" i="8"/>
  <c r="U16" i="8"/>
  <c r="T16" i="8"/>
  <c r="U20" i="8"/>
  <c r="T20" i="8"/>
  <c r="V20" i="8"/>
  <c r="W20" i="8" s="1"/>
  <c r="F20" i="8"/>
  <c r="L8" i="8"/>
  <c r="K26" i="8"/>
  <c r="V8" i="8"/>
  <c r="W285" i="8"/>
  <c r="L16" i="8"/>
  <c r="V16" i="8"/>
  <c r="W91" i="8"/>
  <c r="U22" i="8"/>
  <c r="T22" i="8"/>
  <c r="N26" i="8"/>
  <c r="P8" i="8"/>
  <c r="W10" i="8" l="1"/>
  <c r="W8" i="8"/>
  <c r="L26" i="8"/>
  <c r="W12" i="8"/>
  <c r="F26" i="8"/>
  <c r="W16" i="8"/>
  <c r="P20" i="8"/>
  <c r="O26" i="8"/>
  <c r="P26" i="8" s="1"/>
  <c r="T26" i="8"/>
  <c r="U26" i="8"/>
  <c r="W22" i="8"/>
  <c r="V26" i="8" l="1"/>
  <c r="W26" i="8" s="1"/>
</calcChain>
</file>

<file path=xl/comments1.xml><?xml version="1.0" encoding="utf-8"?>
<comments xmlns="http://schemas.openxmlformats.org/spreadsheetml/2006/main">
  <authors>
    <author>J_Fernandez</author>
    <author>Jackelin Fernandez</author>
  </authors>
  <commentList>
    <comment ref="N11" authorId="0" shapeId="0">
      <text>
        <r>
          <rPr>
            <b/>
            <sz val="9"/>
            <color indexed="81"/>
            <rFont val="Tahoma"/>
            <family val="2"/>
          </rPr>
          <t>J_Fernandez:</t>
        </r>
        <r>
          <rPr>
            <sz val="9"/>
            <color indexed="81"/>
            <rFont val="Tahoma"/>
            <family val="2"/>
          </rPr>
          <t xml:space="preserve">
Estaba para 2012 se esta pidiendo cambio 
2013
</t>
        </r>
      </text>
    </comment>
    <comment ref="O11" authorId="0" shapeId="0">
      <text>
        <r>
          <rPr>
            <b/>
            <sz val="9"/>
            <color indexed="81"/>
            <rFont val="Tahoma"/>
            <family val="2"/>
          </rPr>
          <t>J_Fernandez:</t>
        </r>
        <r>
          <rPr>
            <sz val="9"/>
            <color indexed="81"/>
            <rFont val="Tahoma"/>
            <family val="2"/>
          </rPr>
          <t xml:space="preserve">
cambiar programación a partir 2013
</t>
        </r>
      </text>
    </comment>
    <comment ref="P11" authorId="0" shapeId="0">
      <text>
        <r>
          <rPr>
            <b/>
            <sz val="9"/>
            <color indexed="81"/>
            <rFont val="Tahoma"/>
            <family val="2"/>
          </rPr>
          <t>J_Fernandez:</t>
        </r>
        <r>
          <rPr>
            <sz val="9"/>
            <color indexed="81"/>
            <rFont val="Tahoma"/>
            <family val="2"/>
          </rPr>
          <t xml:space="preserve">
Se reprogramó
</t>
        </r>
      </text>
    </comment>
    <comment ref="R11" authorId="1" shapeId="0">
      <text>
        <r>
          <rPr>
            <b/>
            <sz val="9"/>
            <color indexed="81"/>
            <rFont val="Tahoma"/>
            <family val="2"/>
          </rPr>
          <t>Jackelin Fernandez:</t>
        </r>
        <r>
          <rPr>
            <sz val="9"/>
            <color indexed="81"/>
            <rFont val="Tahoma"/>
            <family val="2"/>
          </rPr>
          <t xml:space="preserve">
reprogramado</t>
        </r>
      </text>
    </comment>
    <comment ref="Q12" authorId="0" shapeId="0">
      <text>
        <r>
          <rPr>
            <b/>
            <sz val="9"/>
            <color indexed="81"/>
            <rFont val="Tahoma"/>
            <family val="2"/>
          </rPr>
          <t>J_Fernandez:</t>
        </r>
        <r>
          <rPr>
            <sz val="9"/>
            <color indexed="81"/>
            <rFont val="Tahoma"/>
            <family val="2"/>
          </rPr>
          <t xml:space="preserve">
Se reprogramó
</t>
        </r>
      </text>
    </comment>
    <comment ref="R12" authorId="1" shapeId="0">
      <text>
        <r>
          <rPr>
            <b/>
            <sz val="9"/>
            <color indexed="81"/>
            <rFont val="Tahoma"/>
            <family val="2"/>
          </rPr>
          <t>Jackelin Fernandez:</t>
        </r>
        <r>
          <rPr>
            <sz val="9"/>
            <color indexed="81"/>
            <rFont val="Tahoma"/>
            <family val="2"/>
          </rPr>
          <t xml:space="preserve">
se eliminó la meta</t>
        </r>
      </text>
    </comment>
    <comment ref="R13" authorId="0" shapeId="0">
      <text>
        <r>
          <rPr>
            <b/>
            <sz val="9"/>
            <color indexed="81"/>
            <rFont val="Tahoma"/>
            <family val="2"/>
          </rPr>
          <t>J_Fernandez:</t>
        </r>
        <r>
          <rPr>
            <sz val="9"/>
            <color indexed="81"/>
            <rFont val="Tahoma"/>
            <family val="2"/>
          </rPr>
          <t xml:space="preserve">
se elimino la meta
</t>
        </r>
      </text>
    </comment>
    <comment ref="P17" authorId="0" shapeId="0">
      <text>
        <r>
          <rPr>
            <b/>
            <sz val="9"/>
            <color indexed="81"/>
            <rFont val="Tahoma"/>
            <family val="2"/>
          </rPr>
          <t>J_Fernandez:</t>
        </r>
        <r>
          <rPr>
            <sz val="9"/>
            <color indexed="81"/>
            <rFont val="Tahoma"/>
            <family val="2"/>
          </rPr>
          <t xml:space="preserve">
Se reprogramó
</t>
        </r>
      </text>
    </comment>
    <comment ref="R17" authorId="1" shapeId="0">
      <text>
        <r>
          <rPr>
            <b/>
            <sz val="9"/>
            <color indexed="81"/>
            <rFont val="Tahoma"/>
            <family val="2"/>
          </rPr>
          <t>Jackelin Fernandez:</t>
        </r>
        <r>
          <rPr>
            <sz val="9"/>
            <color indexed="81"/>
            <rFont val="Tahoma"/>
            <family val="2"/>
          </rPr>
          <t xml:space="preserve">
SE ELIMNO META</t>
        </r>
      </text>
    </comment>
    <comment ref="Q18" authorId="0" shapeId="0">
      <text>
        <r>
          <rPr>
            <b/>
            <sz val="9"/>
            <color indexed="81"/>
            <rFont val="Tahoma"/>
            <family val="2"/>
          </rPr>
          <t>J_Fernandez:</t>
        </r>
        <r>
          <rPr>
            <sz val="9"/>
            <color indexed="81"/>
            <rFont val="Tahoma"/>
            <family val="2"/>
          </rPr>
          <t xml:space="preserve">
Se reprograma</t>
        </r>
      </text>
    </comment>
    <comment ref="R18" authorId="1" shapeId="0">
      <text>
        <r>
          <rPr>
            <b/>
            <sz val="9"/>
            <color indexed="81"/>
            <rFont val="Tahoma"/>
            <family val="2"/>
          </rPr>
          <t>Jackelin Fernandez:</t>
        </r>
        <r>
          <rPr>
            <sz val="9"/>
            <color indexed="81"/>
            <rFont val="Tahoma"/>
            <family val="2"/>
          </rPr>
          <t xml:space="preserve">
SE ELIMINO META</t>
        </r>
      </text>
    </comment>
    <comment ref="Q19" authorId="0" shapeId="0">
      <text>
        <r>
          <rPr>
            <b/>
            <sz val="9"/>
            <color indexed="81"/>
            <rFont val="Tahoma"/>
            <family val="2"/>
          </rPr>
          <t>J_Fernandez:</t>
        </r>
        <r>
          <rPr>
            <sz val="9"/>
            <color indexed="81"/>
            <rFont val="Tahoma"/>
            <family val="2"/>
          </rPr>
          <t xml:space="preserve">
reprogramar</t>
        </r>
      </text>
    </comment>
    <comment ref="R19" authorId="1" shapeId="0">
      <text>
        <r>
          <rPr>
            <b/>
            <sz val="9"/>
            <color indexed="81"/>
            <rFont val="Tahoma"/>
            <family val="2"/>
          </rPr>
          <t>Jackelin Fernandez:</t>
        </r>
        <r>
          <rPr>
            <sz val="9"/>
            <color indexed="81"/>
            <rFont val="Tahoma"/>
            <family val="2"/>
          </rPr>
          <t xml:space="preserve">
SE ELIMINO META
</t>
        </r>
      </text>
    </comment>
    <comment ref="N20" authorId="0" shapeId="0">
      <text>
        <r>
          <rPr>
            <b/>
            <sz val="9"/>
            <color indexed="81"/>
            <rFont val="Tahoma"/>
            <family val="2"/>
          </rPr>
          <t>J_Fernandez:</t>
        </r>
        <r>
          <rPr>
            <sz val="9"/>
            <color indexed="81"/>
            <rFont val="Tahoma"/>
            <family val="2"/>
          </rPr>
          <t xml:space="preserve">
estaba para 2012 se esta pidiendo cambio para 
 2013
</t>
        </r>
      </text>
    </comment>
    <comment ref="O20" authorId="0" shapeId="0">
      <text>
        <r>
          <rPr>
            <b/>
            <sz val="9"/>
            <color indexed="81"/>
            <rFont val="Tahoma"/>
            <family val="2"/>
          </rPr>
          <t>J_Fernandez:</t>
        </r>
        <r>
          <rPr>
            <sz val="9"/>
            <color indexed="81"/>
            <rFont val="Tahoma"/>
            <family val="2"/>
          </rPr>
          <t xml:space="preserve">
Cambiar programación a 2013
</t>
        </r>
      </text>
    </comment>
    <comment ref="Q21" authorId="0" shapeId="0">
      <text>
        <r>
          <rPr>
            <b/>
            <sz val="9"/>
            <color indexed="81"/>
            <rFont val="Tahoma"/>
            <family val="2"/>
          </rPr>
          <t>J_Fernandez:</t>
        </r>
        <r>
          <rPr>
            <sz val="9"/>
            <color indexed="81"/>
            <rFont val="Tahoma"/>
            <family val="2"/>
          </rPr>
          <t xml:space="preserve">
reprogramado
</t>
        </r>
      </text>
    </comment>
    <comment ref="R21" authorId="1" shapeId="0">
      <text>
        <r>
          <rPr>
            <b/>
            <sz val="9"/>
            <color indexed="81"/>
            <rFont val="Tahoma"/>
            <family val="2"/>
          </rPr>
          <t>Jackelin Fernandez:</t>
        </r>
        <r>
          <rPr>
            <sz val="9"/>
            <color indexed="81"/>
            <rFont val="Tahoma"/>
            <family val="2"/>
          </rPr>
          <t xml:space="preserve">
SE REPROGARA, META
</t>
        </r>
      </text>
    </comment>
    <comment ref="Q23" authorId="0" shapeId="0">
      <text>
        <r>
          <rPr>
            <b/>
            <sz val="9"/>
            <color indexed="81"/>
            <rFont val="Tahoma"/>
            <family val="2"/>
          </rPr>
          <t>J_Fernandez:</t>
        </r>
        <r>
          <rPr>
            <sz val="9"/>
            <color indexed="81"/>
            <rFont val="Tahoma"/>
            <family val="2"/>
          </rPr>
          <t xml:space="preserve">
reprogramado
</t>
        </r>
      </text>
    </comment>
    <comment ref="R44" authorId="1" shapeId="0">
      <text>
        <r>
          <rPr>
            <b/>
            <sz val="9"/>
            <color indexed="81"/>
            <rFont val="Tahoma"/>
            <family val="2"/>
          </rPr>
          <t>Jackelin Fernandez:</t>
        </r>
        <r>
          <rPr>
            <sz val="9"/>
            <color indexed="81"/>
            <rFont val="Tahoma"/>
            <family val="2"/>
          </rPr>
          <t xml:space="preserve">
SE ELIMINO META
</t>
        </r>
      </text>
    </comment>
    <comment ref="P47" authorId="0" shapeId="0">
      <text>
        <r>
          <rPr>
            <b/>
            <sz val="9"/>
            <color indexed="81"/>
            <rFont val="Tahoma"/>
            <family val="2"/>
          </rPr>
          <t>J_Fernandez:</t>
        </r>
        <r>
          <rPr>
            <sz val="9"/>
            <color indexed="81"/>
            <rFont val="Tahoma"/>
            <family val="2"/>
          </rPr>
          <t xml:space="preserve">
Se reprogramó</t>
        </r>
      </text>
    </comment>
    <comment ref="Q48" authorId="0" shapeId="0">
      <text>
        <r>
          <rPr>
            <b/>
            <sz val="9"/>
            <color indexed="81"/>
            <rFont val="Tahoma"/>
            <family val="2"/>
          </rPr>
          <t>J_Fernandez:</t>
        </r>
        <r>
          <rPr>
            <sz val="9"/>
            <color indexed="81"/>
            <rFont val="Tahoma"/>
            <family val="2"/>
          </rPr>
          <t xml:space="preserve">
Se reprogramó</t>
        </r>
      </text>
    </comment>
  </commentList>
</comments>
</file>

<file path=xl/comments2.xml><?xml version="1.0" encoding="utf-8"?>
<comments xmlns="http://schemas.openxmlformats.org/spreadsheetml/2006/main">
  <authors>
    <author>Jackelin Fernandez</author>
    <author>J_Fernandez</author>
  </authors>
  <commentList>
    <comment ref="R13" authorId="0" shapeId="0">
      <text>
        <r>
          <rPr>
            <b/>
            <sz val="9"/>
            <color indexed="81"/>
            <rFont val="Tahoma"/>
            <charset val="1"/>
          </rPr>
          <t>Jackelin Fernandez:</t>
        </r>
        <r>
          <rPr>
            <sz val="9"/>
            <color indexed="81"/>
            <rFont val="Tahoma"/>
            <charset val="1"/>
          </rPr>
          <t xml:space="preserve">
REPROGRAMADO</t>
        </r>
      </text>
    </comment>
    <comment ref="K15" authorId="1" shapeId="0">
      <text>
        <r>
          <rPr>
            <b/>
            <sz val="9"/>
            <color indexed="81"/>
            <rFont val="Tahoma"/>
            <family val="2"/>
          </rPr>
          <t>J_Fernandez:</t>
        </r>
        <r>
          <rPr>
            <sz val="9"/>
            <color indexed="81"/>
            <rFont val="Tahoma"/>
            <family val="2"/>
          </rPr>
          <t xml:space="preserve">
Cambiar cantidad programada de acuerdo al Plan LP, estaba para 600 se esta pidiendo a 3000
</t>
        </r>
      </text>
    </comment>
    <comment ref="K18" authorId="1" shapeId="0">
      <text>
        <r>
          <rPr>
            <b/>
            <sz val="9"/>
            <color indexed="81"/>
            <rFont val="Tahoma"/>
            <family val="2"/>
          </rPr>
          <t>J_Fernandez:</t>
        </r>
        <r>
          <rPr>
            <sz val="9"/>
            <color indexed="81"/>
            <rFont val="Tahoma"/>
            <family val="2"/>
          </rPr>
          <t xml:space="preserve">
Se reprogramó
</t>
        </r>
      </text>
    </comment>
    <comment ref="K19" authorId="1" shapeId="0">
      <text>
        <r>
          <rPr>
            <b/>
            <sz val="9"/>
            <color indexed="81"/>
            <rFont val="Tahoma"/>
            <family val="2"/>
          </rPr>
          <t>J_Fernandez:</t>
        </r>
        <r>
          <rPr>
            <sz val="9"/>
            <color indexed="81"/>
            <rFont val="Tahoma"/>
            <family val="2"/>
          </rPr>
          <t xml:space="preserve">
Se reprogramó
</t>
        </r>
      </text>
    </comment>
    <comment ref="K27" authorId="1" shapeId="0">
      <text>
        <r>
          <rPr>
            <b/>
            <sz val="9"/>
            <color indexed="81"/>
            <rFont val="Tahoma"/>
            <family val="2"/>
          </rPr>
          <t>J_Fernandez:</t>
        </r>
        <r>
          <rPr>
            <sz val="9"/>
            <color indexed="81"/>
            <rFont val="Tahoma"/>
            <family val="2"/>
          </rPr>
          <t xml:space="preserve">
Se reprogramó</t>
        </r>
      </text>
    </comment>
    <comment ref="Q27" authorId="0" shapeId="0">
      <text>
        <r>
          <rPr>
            <b/>
            <sz val="9"/>
            <color indexed="81"/>
            <rFont val="Tahoma"/>
            <charset val="1"/>
          </rPr>
          <t>Jackelin Fernandez:</t>
        </r>
        <r>
          <rPr>
            <sz val="9"/>
            <color indexed="81"/>
            <rFont val="Tahoma"/>
            <charset val="1"/>
          </rPr>
          <t xml:space="preserve">
SE ELIMINO META</t>
        </r>
      </text>
    </comment>
    <comment ref="K28" authorId="1" shapeId="0">
      <text>
        <r>
          <rPr>
            <b/>
            <sz val="9"/>
            <color indexed="81"/>
            <rFont val="Tahoma"/>
            <family val="2"/>
          </rPr>
          <t>J_Fernandez:</t>
        </r>
        <r>
          <rPr>
            <sz val="9"/>
            <color indexed="81"/>
            <rFont val="Tahoma"/>
            <family val="2"/>
          </rPr>
          <t xml:space="preserve">
Eliminada</t>
        </r>
      </text>
    </comment>
    <comment ref="K30" authorId="1" shapeId="0">
      <text>
        <r>
          <rPr>
            <b/>
            <sz val="9"/>
            <color indexed="81"/>
            <rFont val="Tahoma"/>
            <family val="2"/>
          </rPr>
          <t>J_Fernandez:</t>
        </r>
        <r>
          <rPr>
            <sz val="9"/>
            <color indexed="81"/>
            <rFont val="Tahoma"/>
            <family val="2"/>
          </rPr>
          <t xml:space="preserve">
corredor accesible</t>
        </r>
      </text>
    </comment>
    <comment ref="C36" authorId="1" shapeId="0">
      <text>
        <r>
          <rPr>
            <b/>
            <sz val="9"/>
            <color indexed="81"/>
            <rFont val="Tahoma"/>
            <family val="2"/>
          </rPr>
          <t>J_Fernandez:</t>
        </r>
        <r>
          <rPr>
            <sz val="9"/>
            <color indexed="81"/>
            <rFont val="Tahoma"/>
            <family val="2"/>
          </rPr>
          <t xml:space="preserve">
Implementación está incluido meta recarpeteo y bacheo.
</t>
        </r>
      </text>
    </comment>
  </commentList>
</comments>
</file>

<file path=xl/comments3.xml><?xml version="1.0" encoding="utf-8"?>
<comments xmlns="http://schemas.openxmlformats.org/spreadsheetml/2006/main">
  <authors>
    <author>J_Fernandez</author>
  </authors>
  <commentList>
    <comment ref="K69" authorId="0" shapeId="0">
      <text>
        <r>
          <rPr>
            <b/>
            <sz val="9"/>
            <color indexed="81"/>
            <rFont val="Tahoma"/>
            <family val="2"/>
          </rPr>
          <t>J_Fernandez:</t>
        </r>
        <r>
          <rPr>
            <sz val="9"/>
            <color indexed="81"/>
            <rFont val="Tahoma"/>
            <family val="2"/>
          </rPr>
          <t xml:space="preserve">
Modificado programación</t>
        </r>
      </text>
    </comment>
  </commentList>
</comments>
</file>

<file path=xl/comments4.xml><?xml version="1.0" encoding="utf-8"?>
<comments xmlns="http://schemas.openxmlformats.org/spreadsheetml/2006/main">
  <authors>
    <author>Jackelin Fernandez</author>
    <author>J_Fernandez</author>
  </authors>
  <commentList>
    <comment ref="R27" authorId="0" shapeId="0">
      <text>
        <r>
          <rPr>
            <b/>
            <sz val="9"/>
            <color indexed="81"/>
            <rFont val="Tahoma"/>
            <charset val="1"/>
          </rPr>
          <t>Jackelin Fernandez:</t>
        </r>
        <r>
          <rPr>
            <sz val="9"/>
            <color indexed="81"/>
            <rFont val="Tahoma"/>
            <charset val="1"/>
          </rPr>
          <t xml:space="preserve">
REPROGRAMADO</t>
        </r>
      </text>
    </comment>
    <comment ref="R28" authorId="1" shapeId="0">
      <text>
        <r>
          <rPr>
            <b/>
            <sz val="9"/>
            <color indexed="81"/>
            <rFont val="Tahoma"/>
            <family val="2"/>
          </rPr>
          <t>J_Fernandez:</t>
        </r>
        <r>
          <rPr>
            <sz val="9"/>
            <color indexed="81"/>
            <rFont val="Tahoma"/>
            <family val="2"/>
          </rPr>
          <t xml:space="preserve">
SE ELIMINO META</t>
        </r>
      </text>
    </comment>
    <comment ref="R33" authorId="0" shapeId="0">
      <text>
        <r>
          <rPr>
            <b/>
            <sz val="9"/>
            <color indexed="81"/>
            <rFont val="Tahoma"/>
            <charset val="1"/>
          </rPr>
          <t>Jackelin Fernandez:</t>
        </r>
        <r>
          <rPr>
            <sz val="9"/>
            <color indexed="81"/>
            <rFont val="Tahoma"/>
            <charset val="1"/>
          </rPr>
          <t xml:space="preserve">
REPROGRAMADO
</t>
        </r>
      </text>
    </comment>
  </commentList>
</comments>
</file>

<file path=xl/comments5.xml><?xml version="1.0" encoding="utf-8"?>
<comments xmlns="http://schemas.openxmlformats.org/spreadsheetml/2006/main">
  <authors>
    <author>J_Fernandez</author>
  </authors>
  <commentList>
    <comment ref="Q30" authorId="0" shapeId="0">
      <text>
        <r>
          <rPr>
            <b/>
            <sz val="9"/>
            <color indexed="81"/>
            <rFont val="Tahoma"/>
            <family val="2"/>
          </rPr>
          <t>J_Fernandez:</t>
        </r>
        <r>
          <rPr>
            <sz val="9"/>
            <color indexed="81"/>
            <rFont val="Tahoma"/>
            <family val="2"/>
          </rPr>
          <t xml:space="preserve">
reprogamado</t>
        </r>
      </text>
    </comment>
    <comment ref="R32" authorId="0" shapeId="0">
      <text>
        <r>
          <rPr>
            <b/>
            <sz val="9"/>
            <color indexed="81"/>
            <rFont val="Tahoma"/>
            <family val="2"/>
          </rPr>
          <t>J_Fernandez:</t>
        </r>
        <r>
          <rPr>
            <sz val="9"/>
            <color indexed="81"/>
            <rFont val="Tahoma"/>
            <family val="2"/>
          </rPr>
          <t xml:space="preserve">
SE ELIMINA META</t>
        </r>
      </text>
    </comment>
  </commentList>
</comments>
</file>

<file path=xl/comments6.xml><?xml version="1.0" encoding="utf-8"?>
<comments xmlns="http://schemas.openxmlformats.org/spreadsheetml/2006/main">
  <authors>
    <author>J_Fernandez</author>
    <author>Jackelin Fernandez</author>
  </authors>
  <commentList>
    <comment ref="P11" authorId="0" shapeId="0">
      <text>
        <r>
          <rPr>
            <b/>
            <sz val="9"/>
            <color indexed="81"/>
            <rFont val="Tahoma"/>
            <family val="2"/>
          </rPr>
          <t>J_Fernandez:</t>
        </r>
        <r>
          <rPr>
            <sz val="9"/>
            <color indexed="81"/>
            <rFont val="Tahoma"/>
            <family val="2"/>
          </rPr>
          <t xml:space="preserve">
reprogramado</t>
        </r>
      </text>
    </comment>
    <comment ref="Q12" authorId="0" shapeId="0">
      <text>
        <r>
          <rPr>
            <b/>
            <sz val="9"/>
            <color indexed="81"/>
            <rFont val="Tahoma"/>
            <family val="2"/>
          </rPr>
          <t>J_Fernandez:</t>
        </r>
        <r>
          <rPr>
            <sz val="9"/>
            <color indexed="81"/>
            <rFont val="Tahoma"/>
            <family val="2"/>
          </rPr>
          <t xml:space="preserve">
reprogramado</t>
        </r>
      </text>
    </comment>
    <comment ref="R12" authorId="0" shapeId="0">
      <text>
        <r>
          <rPr>
            <b/>
            <sz val="9"/>
            <color indexed="81"/>
            <rFont val="Tahoma"/>
            <family val="2"/>
          </rPr>
          <t>J_Fernandez:</t>
        </r>
        <r>
          <rPr>
            <sz val="9"/>
            <color indexed="81"/>
            <rFont val="Tahoma"/>
            <family val="2"/>
          </rPr>
          <t xml:space="preserve">
reprogramado</t>
        </r>
      </text>
    </comment>
    <comment ref="K31" authorId="0" shapeId="0">
      <text>
        <r>
          <rPr>
            <b/>
            <sz val="9"/>
            <color indexed="81"/>
            <rFont val="Tahoma"/>
            <family val="2"/>
          </rPr>
          <t>J_Fernandez:</t>
        </r>
        <r>
          <rPr>
            <sz val="9"/>
            <color indexed="81"/>
            <rFont val="Tahoma"/>
            <family val="2"/>
          </rPr>
          <t xml:space="preserve">
Se modificó la meta</t>
        </r>
      </text>
    </comment>
    <comment ref="K66" authorId="0" shapeId="0">
      <text>
        <r>
          <rPr>
            <b/>
            <sz val="9"/>
            <color indexed="81"/>
            <rFont val="Tahoma"/>
            <family val="2"/>
          </rPr>
          <t xml:space="preserve">Como se verificaría que se realiza la supervisión, debe haber algún mecanismo 
</t>
        </r>
      </text>
    </comment>
    <comment ref="K68" authorId="0" shapeId="0">
      <text>
        <r>
          <rPr>
            <b/>
            <sz val="9"/>
            <color indexed="81"/>
            <rFont val="Tahoma"/>
            <family val="2"/>
          </rPr>
          <t>J_Fernandez:</t>
        </r>
        <r>
          <rPr>
            <sz val="9"/>
            <color indexed="81"/>
            <rFont val="Tahoma"/>
            <family val="2"/>
          </rPr>
          <t xml:space="preserve">
se UNIFICARON TRES METAS EN UNA SOLA
</t>
        </r>
      </text>
    </comment>
    <comment ref="Q90" authorId="1" shapeId="0">
      <text>
        <r>
          <rPr>
            <b/>
            <sz val="9"/>
            <color indexed="81"/>
            <rFont val="Tahoma"/>
            <charset val="1"/>
          </rPr>
          <t>Jackelin Fernandez:</t>
        </r>
        <r>
          <rPr>
            <sz val="9"/>
            <color indexed="81"/>
            <rFont val="Tahoma"/>
            <charset val="1"/>
          </rPr>
          <t xml:space="preserve">
SE ELIMINO META
</t>
        </r>
      </text>
    </comment>
    <comment ref="R91" authorId="1" shapeId="0">
      <text>
        <r>
          <rPr>
            <b/>
            <sz val="9"/>
            <color indexed="81"/>
            <rFont val="Tahoma"/>
            <charset val="1"/>
          </rPr>
          <t>Jackelin Fernandez:</t>
        </r>
        <r>
          <rPr>
            <sz val="9"/>
            <color indexed="81"/>
            <rFont val="Tahoma"/>
            <charset val="1"/>
          </rPr>
          <t xml:space="preserve">
SE ELIMINO META</t>
        </r>
      </text>
    </comment>
    <comment ref="R92" authorId="1" shapeId="0">
      <text>
        <r>
          <rPr>
            <b/>
            <sz val="9"/>
            <color indexed="81"/>
            <rFont val="Tahoma"/>
            <charset val="1"/>
          </rPr>
          <t>Jackelin Fernandez:</t>
        </r>
        <r>
          <rPr>
            <sz val="9"/>
            <color indexed="81"/>
            <rFont val="Tahoma"/>
            <charset val="1"/>
          </rPr>
          <t xml:space="preserve">
SE ELIMNO META</t>
        </r>
      </text>
    </comment>
  </commentList>
</comments>
</file>

<file path=xl/comments7.xml><?xml version="1.0" encoding="utf-8"?>
<comments xmlns="http://schemas.openxmlformats.org/spreadsheetml/2006/main">
  <authors>
    <author>J_Fernandez</author>
    <author>Jackelin Fernandez</author>
  </authors>
  <commentList>
    <comment ref="J47" authorId="0" shapeId="0">
      <text>
        <r>
          <rPr>
            <b/>
            <sz val="9"/>
            <color indexed="81"/>
            <rFont val="Tahoma"/>
            <family val="2"/>
          </rPr>
          <t>J_Fernandez:</t>
        </r>
        <r>
          <rPr>
            <sz val="9"/>
            <color indexed="81"/>
            <rFont val="Tahoma"/>
            <family val="2"/>
          </rPr>
          <t xml:space="preserve">
Se cambio programacion
</t>
        </r>
      </text>
    </comment>
    <comment ref="N47" authorId="0" shapeId="0">
      <text>
        <r>
          <rPr>
            <b/>
            <sz val="9"/>
            <color indexed="81"/>
            <rFont val="Tahoma"/>
            <family val="2"/>
          </rPr>
          <t>J_Fernandez:</t>
        </r>
        <r>
          <rPr>
            <sz val="9"/>
            <color indexed="81"/>
            <rFont val="Tahoma"/>
            <family val="2"/>
          </rPr>
          <t xml:space="preserve">
Se cambio programacion
</t>
        </r>
      </text>
    </comment>
    <comment ref="S47" authorId="0" shapeId="0">
      <text>
        <r>
          <rPr>
            <b/>
            <sz val="9"/>
            <color indexed="81"/>
            <rFont val="Tahoma"/>
            <family val="2"/>
          </rPr>
          <t>J_Fernandez:</t>
        </r>
        <r>
          <rPr>
            <sz val="9"/>
            <color indexed="81"/>
            <rFont val="Tahoma"/>
            <family val="2"/>
          </rPr>
          <t xml:space="preserve">
Se cambio programacion
</t>
        </r>
      </text>
    </comment>
    <comment ref="S48" authorId="0" shapeId="0">
      <text>
        <r>
          <rPr>
            <b/>
            <sz val="9"/>
            <color indexed="81"/>
            <rFont val="Tahoma"/>
            <family val="2"/>
          </rPr>
          <t>J_Fernandez:</t>
        </r>
        <r>
          <rPr>
            <sz val="9"/>
            <color indexed="81"/>
            <rFont val="Tahoma"/>
            <family val="2"/>
          </rPr>
          <t xml:space="preserve">
Se elimno meta
</t>
        </r>
      </text>
    </comment>
    <comment ref="S51" authorId="0" shapeId="0">
      <text>
        <r>
          <rPr>
            <b/>
            <sz val="9"/>
            <color indexed="81"/>
            <rFont val="Tahoma"/>
            <family val="2"/>
          </rPr>
          <t>J_Fernandez:</t>
        </r>
        <r>
          <rPr>
            <sz val="9"/>
            <color indexed="81"/>
            <rFont val="Tahoma"/>
            <family val="2"/>
          </rPr>
          <t xml:space="preserve">
Se reprogramó meta</t>
        </r>
      </text>
    </comment>
    <comment ref="J52" authorId="0" shapeId="0">
      <text>
        <r>
          <rPr>
            <b/>
            <sz val="9"/>
            <color indexed="81"/>
            <rFont val="Tahoma"/>
            <family val="2"/>
          </rPr>
          <t>J_Fernandez:</t>
        </r>
        <r>
          <rPr>
            <sz val="9"/>
            <color indexed="81"/>
            <rFont val="Tahoma"/>
            <family val="2"/>
          </rPr>
          <t xml:space="preserve">
cambio programacion
</t>
        </r>
      </text>
    </comment>
    <comment ref="S52" authorId="0" shapeId="0">
      <text>
        <r>
          <rPr>
            <b/>
            <sz val="9"/>
            <color indexed="81"/>
            <rFont val="Tahoma"/>
            <family val="2"/>
          </rPr>
          <t>J_Fernandez:</t>
        </r>
        <r>
          <rPr>
            <sz val="9"/>
            <color indexed="81"/>
            <rFont val="Tahoma"/>
            <family val="2"/>
          </rPr>
          <t xml:space="preserve">
Se elimino meta</t>
        </r>
      </text>
    </comment>
    <comment ref="S53" authorId="0" shapeId="0">
      <text>
        <r>
          <rPr>
            <b/>
            <sz val="9"/>
            <color indexed="81"/>
            <rFont val="Tahoma"/>
            <family val="2"/>
          </rPr>
          <t>J_Fernandez:</t>
        </r>
        <r>
          <rPr>
            <sz val="9"/>
            <color indexed="81"/>
            <rFont val="Tahoma"/>
            <family val="2"/>
          </rPr>
          <t xml:space="preserve">
Se eliminó meta</t>
        </r>
      </text>
    </comment>
    <comment ref="K57" authorId="0" shapeId="0">
      <text>
        <r>
          <rPr>
            <b/>
            <sz val="9"/>
            <color indexed="81"/>
            <rFont val="Tahoma"/>
            <family val="2"/>
          </rPr>
          <t>J_Fernandez:</t>
        </r>
        <r>
          <rPr>
            <sz val="9"/>
            <color indexed="81"/>
            <rFont val="Tahoma"/>
            <family val="2"/>
          </rPr>
          <t xml:space="preserve">
incluye cumplimiento de lo pendiente 2013
</t>
        </r>
      </text>
    </comment>
    <comment ref="S59" authorId="0" shapeId="0">
      <text>
        <r>
          <rPr>
            <b/>
            <sz val="9"/>
            <color indexed="81"/>
            <rFont val="Tahoma"/>
            <family val="2"/>
          </rPr>
          <t>J_Fernandez:</t>
        </r>
        <r>
          <rPr>
            <sz val="9"/>
            <color indexed="81"/>
            <rFont val="Tahoma"/>
            <family val="2"/>
          </rPr>
          <t xml:space="preserve">
Se eliminó meta
</t>
        </r>
      </text>
    </comment>
    <comment ref="R76" authorId="1" shapeId="0">
      <text>
        <r>
          <rPr>
            <b/>
            <sz val="9"/>
            <color indexed="81"/>
            <rFont val="Tahoma"/>
            <charset val="1"/>
          </rPr>
          <t>Jackelin Fernandez:</t>
        </r>
        <r>
          <rPr>
            <sz val="9"/>
            <color indexed="81"/>
            <rFont val="Tahoma"/>
            <charset val="1"/>
          </rPr>
          <t xml:space="preserve">
Incluye puente Cristo Rey concluído de más de acuerdo a lo programado</t>
        </r>
      </text>
    </comment>
    <comment ref="H77" authorId="0" shapeId="0">
      <text>
        <r>
          <rPr>
            <b/>
            <sz val="9"/>
            <color indexed="81"/>
            <rFont val="Tahoma"/>
            <family val="2"/>
          </rPr>
          <t>J_Fernandez:</t>
        </r>
        <r>
          <rPr>
            <sz val="9"/>
            <color indexed="81"/>
            <rFont val="Tahoma"/>
            <family val="2"/>
          </rPr>
          <t xml:space="preserve">
Inlcuye el cumplimiento de lo pendiente 2012
</t>
        </r>
      </text>
    </comment>
    <comment ref="K77" authorId="0" shapeId="0">
      <text>
        <r>
          <rPr>
            <b/>
            <sz val="9"/>
            <color indexed="81"/>
            <rFont val="Tahoma"/>
            <family val="2"/>
          </rPr>
          <t>J_Fernandez:</t>
        </r>
        <r>
          <rPr>
            <sz val="9"/>
            <color indexed="81"/>
            <rFont val="Tahoma"/>
            <family val="2"/>
          </rPr>
          <t xml:space="preserve">
Incluye cumplimiento 2013 colocación toneladas
</t>
        </r>
      </text>
    </comment>
    <comment ref="M77" authorId="1" shapeId="0">
      <text>
        <r>
          <rPr>
            <b/>
            <sz val="9"/>
            <color indexed="81"/>
            <rFont val="Tahoma"/>
            <charset val="1"/>
          </rPr>
          <t>Jackelin Fernandez:</t>
        </r>
        <r>
          <rPr>
            <sz val="9"/>
            <color indexed="81"/>
            <rFont val="Tahoma"/>
            <charset val="1"/>
          </rPr>
          <t xml:space="preserve">
pendiente 2013
</t>
        </r>
      </text>
    </comment>
    <comment ref="Q77" authorId="1" shapeId="0">
      <text>
        <r>
          <rPr>
            <b/>
            <sz val="9"/>
            <color indexed="81"/>
            <rFont val="Tahoma"/>
            <charset val="1"/>
          </rPr>
          <t>Jackelin Fernandez:</t>
        </r>
        <r>
          <rPr>
            <sz val="9"/>
            <color indexed="81"/>
            <rFont val="Tahoma"/>
            <charset val="1"/>
          </rPr>
          <t xml:space="preserve">
pendiente 2013
</t>
        </r>
      </text>
    </comment>
    <comment ref="G83" authorId="0" shapeId="0">
      <text>
        <r>
          <rPr>
            <b/>
            <sz val="9"/>
            <color indexed="81"/>
            <rFont val="Tahoma"/>
            <family val="2"/>
          </rPr>
          <t>J_Fernandez:</t>
        </r>
        <r>
          <rPr>
            <sz val="9"/>
            <color indexed="81"/>
            <rFont val="Tahoma"/>
            <family val="2"/>
          </rPr>
          <t xml:space="preserve">
Eliminada
</t>
        </r>
      </text>
    </comment>
    <comment ref="J83" authorId="0" shapeId="0">
      <text>
        <r>
          <rPr>
            <b/>
            <sz val="9"/>
            <color indexed="81"/>
            <rFont val="Tahoma"/>
            <family val="2"/>
          </rPr>
          <t>J_Fernandez:</t>
        </r>
        <r>
          <rPr>
            <sz val="9"/>
            <color indexed="81"/>
            <rFont val="Tahoma"/>
            <family val="2"/>
          </rPr>
          <t xml:space="preserve">
eliminada</t>
        </r>
      </text>
    </comment>
    <comment ref="K111" authorId="0" shapeId="0">
      <text>
        <r>
          <rPr>
            <b/>
            <sz val="9"/>
            <color indexed="81"/>
            <rFont val="Tahoma"/>
            <family val="2"/>
          </rPr>
          <t>J_Fernandez:</t>
        </r>
        <r>
          <rPr>
            <sz val="9"/>
            <color indexed="81"/>
            <rFont val="Tahoma"/>
            <family val="2"/>
          </rPr>
          <t xml:space="preserve">
incluye cumplimiento 2013
</t>
        </r>
      </text>
    </comment>
    <comment ref="AA132" authorId="0" shapeId="0">
      <text>
        <r>
          <rPr>
            <b/>
            <sz val="9"/>
            <color indexed="81"/>
            <rFont val="Tahoma"/>
            <family val="2"/>
          </rPr>
          <t>J_Fernandez:</t>
        </r>
        <r>
          <rPr>
            <sz val="9"/>
            <color indexed="81"/>
            <rFont val="Tahoma"/>
            <family val="2"/>
          </rPr>
          <t xml:space="preserve">
Al cambiar la programación de metas varia porcentaje cumplimiento
</t>
        </r>
      </text>
    </comment>
    <comment ref="K133" authorId="0" shapeId="0">
      <text>
        <r>
          <rPr>
            <b/>
            <sz val="9"/>
            <color indexed="81"/>
            <rFont val="Tahoma"/>
            <family val="2"/>
          </rPr>
          <t>J_Fernandez:</t>
        </r>
        <r>
          <rPr>
            <sz val="9"/>
            <color indexed="81"/>
            <rFont val="Tahoma"/>
            <family val="2"/>
          </rPr>
          <t xml:space="preserve">
incluye cumplimeinto 2013
</t>
        </r>
      </text>
    </comment>
    <comment ref="D150" authorId="0" shapeId="0">
      <text>
        <r>
          <rPr>
            <b/>
            <sz val="9"/>
            <color indexed="81"/>
            <rFont val="Tahoma"/>
            <family val="2"/>
          </rPr>
          <t>J_Fernandez:</t>
        </r>
        <r>
          <rPr>
            <sz val="9"/>
            <color indexed="81"/>
            <rFont val="Tahoma"/>
            <family val="2"/>
          </rPr>
          <t xml:space="preserve">
eliminada
</t>
        </r>
      </text>
    </comment>
    <comment ref="K193" authorId="0" shapeId="0">
      <text>
        <r>
          <rPr>
            <b/>
            <sz val="9"/>
            <color indexed="81"/>
            <rFont val="Tahoma"/>
            <family val="2"/>
          </rPr>
          <t>J_Fernandez:</t>
        </r>
        <r>
          <rPr>
            <sz val="9"/>
            <color indexed="81"/>
            <rFont val="Tahoma"/>
            <family val="2"/>
          </rPr>
          <t xml:space="preserve">
Inlcuye cumplimiento 2013
</t>
        </r>
      </text>
    </comment>
    <comment ref="K231" authorId="0" shapeId="0">
      <text>
        <r>
          <rPr>
            <b/>
            <sz val="9"/>
            <color indexed="81"/>
            <rFont val="Tahoma"/>
            <family val="2"/>
          </rPr>
          <t>J_Fernandez:</t>
        </r>
        <r>
          <rPr>
            <sz val="9"/>
            <color indexed="81"/>
            <rFont val="Tahoma"/>
            <family val="2"/>
          </rPr>
          <t xml:space="preserve">
incluye cumplimiento metas 2013
</t>
        </r>
      </text>
    </comment>
    <comment ref="N232" authorId="0" shapeId="0">
      <text>
        <r>
          <rPr>
            <b/>
            <sz val="9"/>
            <color indexed="81"/>
            <rFont val="Tahoma"/>
            <family val="2"/>
          </rPr>
          <t>J_Fernandez:</t>
        </r>
        <r>
          <rPr>
            <sz val="9"/>
            <color indexed="81"/>
            <rFont val="Tahoma"/>
            <family val="2"/>
          </rPr>
          <t xml:space="preserve">
REPROGRAMADO</t>
        </r>
      </text>
    </comment>
    <comment ref="G249" authorId="0" shapeId="0">
      <text>
        <r>
          <rPr>
            <b/>
            <sz val="9"/>
            <color indexed="81"/>
            <rFont val="Tahoma"/>
            <family val="2"/>
          </rPr>
          <t>J_Fernandez:</t>
        </r>
        <r>
          <rPr>
            <sz val="9"/>
            <color indexed="81"/>
            <rFont val="Tahoma"/>
            <family val="2"/>
          </rPr>
          <t xml:space="preserve">
reprogramado
</t>
        </r>
      </text>
    </comment>
    <comment ref="J249" authorId="0" shapeId="0">
      <text>
        <r>
          <rPr>
            <b/>
            <sz val="9"/>
            <color indexed="81"/>
            <rFont val="Tahoma"/>
            <family val="2"/>
          </rPr>
          <t>J_Fernandez:</t>
        </r>
        <r>
          <rPr>
            <sz val="9"/>
            <color indexed="81"/>
            <rFont val="Tahoma"/>
            <family val="2"/>
          </rPr>
          <t xml:space="preserve">
reprogramado
</t>
        </r>
      </text>
    </comment>
    <comment ref="N249" authorId="0" shapeId="0">
      <text>
        <r>
          <rPr>
            <b/>
            <sz val="9"/>
            <color indexed="81"/>
            <rFont val="Tahoma"/>
            <family val="2"/>
          </rPr>
          <t>J_Fernandez:</t>
        </r>
        <r>
          <rPr>
            <sz val="9"/>
            <color indexed="81"/>
            <rFont val="Tahoma"/>
            <family val="2"/>
          </rPr>
          <t xml:space="preserve">
reprogramado
</t>
        </r>
      </text>
    </comment>
    <comment ref="S249" authorId="0" shapeId="0">
      <text>
        <r>
          <rPr>
            <b/>
            <sz val="9"/>
            <color indexed="81"/>
            <rFont val="Tahoma"/>
            <family val="2"/>
          </rPr>
          <t>J_Fernandez:</t>
        </r>
        <r>
          <rPr>
            <sz val="9"/>
            <color indexed="81"/>
            <rFont val="Tahoma"/>
            <family val="2"/>
          </rPr>
          <t xml:space="preserve">
REPROGRAMADO</t>
        </r>
      </text>
    </comment>
    <comment ref="K251" authorId="0" shapeId="0">
      <text>
        <r>
          <rPr>
            <b/>
            <sz val="9"/>
            <color indexed="81"/>
            <rFont val="Tahoma"/>
            <family val="2"/>
          </rPr>
          <t>J_Fernandez:</t>
        </r>
        <r>
          <rPr>
            <sz val="9"/>
            <color indexed="81"/>
            <rFont val="Tahoma"/>
            <family val="2"/>
          </rPr>
          <t xml:space="preserve">
incluye cumplimiento 2013
</t>
        </r>
      </text>
    </comment>
    <comment ref="K267" authorId="0" shapeId="0">
      <text>
        <r>
          <rPr>
            <b/>
            <sz val="9"/>
            <color indexed="81"/>
            <rFont val="Tahoma"/>
            <family val="2"/>
          </rPr>
          <t>J_Fernandez:</t>
        </r>
        <r>
          <rPr>
            <sz val="9"/>
            <color indexed="81"/>
            <rFont val="Tahoma"/>
            <family val="2"/>
          </rPr>
          <t xml:space="preserve">
incluye cumplimiento 2013
</t>
        </r>
      </text>
    </comment>
    <comment ref="Q270" authorId="1" shapeId="0">
      <text>
        <r>
          <rPr>
            <b/>
            <sz val="9"/>
            <color indexed="81"/>
            <rFont val="Tahoma"/>
            <charset val="1"/>
          </rPr>
          <t>Jackelin Fernandez:</t>
        </r>
        <r>
          <rPr>
            <sz val="9"/>
            <color indexed="81"/>
            <rFont val="Tahoma"/>
            <charset val="1"/>
          </rPr>
          <t xml:space="preserve">
Se registra que se concluyó plan
</t>
        </r>
      </text>
    </comment>
    <comment ref="Q271" authorId="1" shapeId="0">
      <text>
        <r>
          <rPr>
            <b/>
            <sz val="9"/>
            <color indexed="81"/>
            <rFont val="Tahoma"/>
            <charset val="1"/>
          </rPr>
          <t>Jackelin Fernandez:</t>
        </r>
        <r>
          <rPr>
            <sz val="9"/>
            <color indexed="81"/>
            <rFont val="Tahoma"/>
            <charset val="1"/>
          </rPr>
          <t xml:space="preserve">
Se registra concluir la politica empleo</t>
        </r>
      </text>
    </comment>
    <comment ref="J275" authorId="0" shapeId="0">
      <text>
        <r>
          <rPr>
            <b/>
            <sz val="9"/>
            <color indexed="81"/>
            <rFont val="Tahoma"/>
            <family val="2"/>
          </rPr>
          <t>J_Fernandez:</t>
        </r>
        <r>
          <rPr>
            <sz val="9"/>
            <color indexed="81"/>
            <rFont val="Tahoma"/>
            <family val="2"/>
          </rPr>
          <t xml:space="preserve">
REPROGRAMADO PORQUE SE UNIFICO META</t>
        </r>
      </text>
    </comment>
    <comment ref="K275" authorId="0" shapeId="0">
      <text>
        <r>
          <rPr>
            <b/>
            <sz val="9"/>
            <color indexed="81"/>
            <rFont val="Tahoma"/>
            <family val="2"/>
          </rPr>
          <t>J_Fernandez:</t>
        </r>
        <r>
          <rPr>
            <sz val="9"/>
            <color indexed="81"/>
            <rFont val="Tahoma"/>
            <family val="2"/>
          </rPr>
          <t xml:space="preserve">
REPROGRAMADO PORQUE SE UNIFICO META</t>
        </r>
      </text>
    </comment>
    <comment ref="N275" authorId="0" shapeId="0">
      <text>
        <r>
          <rPr>
            <b/>
            <sz val="9"/>
            <color indexed="81"/>
            <rFont val="Tahoma"/>
            <family val="2"/>
          </rPr>
          <t>J_Fernandez:</t>
        </r>
        <r>
          <rPr>
            <sz val="9"/>
            <color indexed="81"/>
            <rFont val="Tahoma"/>
            <family val="2"/>
          </rPr>
          <t xml:space="preserve">
REPROGRAMADO PORQUE SE UNIFICO LA META</t>
        </r>
      </text>
    </comment>
    <comment ref="S275" authorId="0" shapeId="0">
      <text>
        <r>
          <rPr>
            <b/>
            <sz val="9"/>
            <color indexed="81"/>
            <rFont val="Tahoma"/>
            <family val="2"/>
          </rPr>
          <t>J_Fernandez:</t>
        </r>
        <r>
          <rPr>
            <sz val="9"/>
            <color indexed="81"/>
            <rFont val="Tahoma"/>
            <family val="2"/>
          </rPr>
          <t xml:space="preserve">
REPROGRAMADO PORQUE SE UNIFICO LA META
</t>
        </r>
      </text>
    </comment>
  </commentList>
</comments>
</file>

<file path=xl/comments8.xml><?xml version="1.0" encoding="utf-8"?>
<comments xmlns="http://schemas.openxmlformats.org/spreadsheetml/2006/main">
  <authors>
    <author>J_Fernandez</author>
    <author>Jackelin Fernandez</author>
  </authors>
  <commentList>
    <comment ref="N11" authorId="0" shapeId="0">
      <text>
        <r>
          <rPr>
            <b/>
            <sz val="9"/>
            <color indexed="81"/>
            <rFont val="Tahoma"/>
            <family val="2"/>
          </rPr>
          <t>J_Fernandez:</t>
        </r>
        <r>
          <rPr>
            <sz val="9"/>
            <color indexed="81"/>
            <rFont val="Tahoma"/>
            <family val="2"/>
          </rPr>
          <t xml:space="preserve">
Estaba para 2012 se esta pidiendo cambio 
2013
</t>
        </r>
      </text>
    </comment>
    <comment ref="O11" authorId="0" shapeId="0">
      <text>
        <r>
          <rPr>
            <b/>
            <sz val="9"/>
            <color indexed="81"/>
            <rFont val="Tahoma"/>
            <family val="2"/>
          </rPr>
          <t>J_Fernandez:</t>
        </r>
        <r>
          <rPr>
            <sz val="9"/>
            <color indexed="81"/>
            <rFont val="Tahoma"/>
            <family val="2"/>
          </rPr>
          <t xml:space="preserve">
cambiar programación a partir 2013
</t>
        </r>
      </text>
    </comment>
    <comment ref="P11" authorId="0" shapeId="0">
      <text>
        <r>
          <rPr>
            <b/>
            <sz val="9"/>
            <color indexed="81"/>
            <rFont val="Tahoma"/>
            <family val="2"/>
          </rPr>
          <t>J_Fernandez:</t>
        </r>
        <r>
          <rPr>
            <sz val="9"/>
            <color indexed="81"/>
            <rFont val="Tahoma"/>
            <family val="2"/>
          </rPr>
          <t xml:space="preserve">
Se reprogramó
</t>
        </r>
      </text>
    </comment>
    <comment ref="R11" authorId="1" shapeId="0">
      <text>
        <r>
          <rPr>
            <b/>
            <sz val="9"/>
            <color indexed="81"/>
            <rFont val="Tahoma"/>
            <family val="2"/>
          </rPr>
          <t>Jackelin Fernandez:</t>
        </r>
        <r>
          <rPr>
            <sz val="9"/>
            <color indexed="81"/>
            <rFont val="Tahoma"/>
            <family val="2"/>
          </rPr>
          <t xml:space="preserve">
reprogramado</t>
        </r>
      </text>
    </comment>
    <comment ref="Q12" authorId="0" shapeId="0">
      <text>
        <r>
          <rPr>
            <b/>
            <sz val="9"/>
            <color indexed="81"/>
            <rFont val="Tahoma"/>
            <family val="2"/>
          </rPr>
          <t>J_Fernandez:</t>
        </r>
        <r>
          <rPr>
            <sz val="9"/>
            <color indexed="81"/>
            <rFont val="Tahoma"/>
            <family val="2"/>
          </rPr>
          <t xml:space="preserve">
Se reprogramó
</t>
        </r>
      </text>
    </comment>
    <comment ref="R12" authorId="1" shapeId="0">
      <text>
        <r>
          <rPr>
            <b/>
            <sz val="9"/>
            <color indexed="81"/>
            <rFont val="Tahoma"/>
            <family val="2"/>
          </rPr>
          <t>Jackelin Fernandez:</t>
        </r>
        <r>
          <rPr>
            <sz val="9"/>
            <color indexed="81"/>
            <rFont val="Tahoma"/>
            <family val="2"/>
          </rPr>
          <t xml:space="preserve">
se eliminó la meta</t>
        </r>
      </text>
    </comment>
    <comment ref="R13" authorId="0" shapeId="0">
      <text>
        <r>
          <rPr>
            <b/>
            <sz val="9"/>
            <color indexed="81"/>
            <rFont val="Tahoma"/>
            <family val="2"/>
          </rPr>
          <t>J_Fernandez:</t>
        </r>
        <r>
          <rPr>
            <sz val="9"/>
            <color indexed="81"/>
            <rFont val="Tahoma"/>
            <family val="2"/>
          </rPr>
          <t xml:space="preserve">
se elimino la meta
</t>
        </r>
      </text>
    </comment>
    <comment ref="P14" authorId="0" shapeId="0">
      <text>
        <r>
          <rPr>
            <b/>
            <sz val="9"/>
            <color indexed="81"/>
            <rFont val="Tahoma"/>
            <family val="2"/>
          </rPr>
          <t>J_Fernandez:</t>
        </r>
        <r>
          <rPr>
            <sz val="9"/>
            <color indexed="81"/>
            <rFont val="Tahoma"/>
            <family val="2"/>
          </rPr>
          <t xml:space="preserve">
Se reprogramó
</t>
        </r>
      </text>
    </comment>
    <comment ref="R14" authorId="1" shapeId="0">
      <text>
        <r>
          <rPr>
            <b/>
            <sz val="9"/>
            <color indexed="81"/>
            <rFont val="Tahoma"/>
            <family val="2"/>
          </rPr>
          <t>Jackelin Fernandez:</t>
        </r>
        <r>
          <rPr>
            <sz val="9"/>
            <color indexed="81"/>
            <rFont val="Tahoma"/>
            <family val="2"/>
          </rPr>
          <t xml:space="preserve">
SE ELIMNO META</t>
        </r>
      </text>
    </comment>
    <comment ref="Q15" authorId="0" shapeId="0">
      <text>
        <r>
          <rPr>
            <b/>
            <sz val="9"/>
            <color indexed="81"/>
            <rFont val="Tahoma"/>
            <family val="2"/>
          </rPr>
          <t>J_Fernandez:</t>
        </r>
        <r>
          <rPr>
            <sz val="9"/>
            <color indexed="81"/>
            <rFont val="Tahoma"/>
            <family val="2"/>
          </rPr>
          <t xml:space="preserve">
Se reprograma</t>
        </r>
      </text>
    </comment>
    <comment ref="R15" authorId="1" shapeId="0">
      <text>
        <r>
          <rPr>
            <b/>
            <sz val="9"/>
            <color indexed="81"/>
            <rFont val="Tahoma"/>
            <family val="2"/>
          </rPr>
          <t>Jackelin Fernandez:</t>
        </r>
        <r>
          <rPr>
            <sz val="9"/>
            <color indexed="81"/>
            <rFont val="Tahoma"/>
            <family val="2"/>
          </rPr>
          <t xml:space="preserve">
SE ELIMINO META</t>
        </r>
      </text>
    </comment>
    <comment ref="Q16" authorId="0" shapeId="0">
      <text>
        <r>
          <rPr>
            <b/>
            <sz val="9"/>
            <color indexed="81"/>
            <rFont val="Tahoma"/>
            <family val="2"/>
          </rPr>
          <t>J_Fernandez:</t>
        </r>
        <r>
          <rPr>
            <sz val="9"/>
            <color indexed="81"/>
            <rFont val="Tahoma"/>
            <family val="2"/>
          </rPr>
          <t xml:space="preserve">
reprogramar</t>
        </r>
      </text>
    </comment>
    <comment ref="R16" authorId="1" shapeId="0">
      <text>
        <r>
          <rPr>
            <b/>
            <sz val="9"/>
            <color indexed="81"/>
            <rFont val="Tahoma"/>
            <family val="2"/>
          </rPr>
          <t>Jackelin Fernandez:</t>
        </r>
        <r>
          <rPr>
            <sz val="9"/>
            <color indexed="81"/>
            <rFont val="Tahoma"/>
            <family val="2"/>
          </rPr>
          <t xml:space="preserve">
SE ELIMINO META
</t>
        </r>
      </text>
    </comment>
    <comment ref="N17" authorId="0" shapeId="0">
      <text>
        <r>
          <rPr>
            <b/>
            <sz val="9"/>
            <color indexed="81"/>
            <rFont val="Tahoma"/>
            <family val="2"/>
          </rPr>
          <t>J_Fernandez:</t>
        </r>
        <r>
          <rPr>
            <sz val="9"/>
            <color indexed="81"/>
            <rFont val="Tahoma"/>
            <family val="2"/>
          </rPr>
          <t xml:space="preserve">
estaba para 2012 se esta pidiendo cambio para 
 2013
</t>
        </r>
      </text>
    </comment>
    <comment ref="O17" authorId="0" shapeId="0">
      <text>
        <r>
          <rPr>
            <b/>
            <sz val="9"/>
            <color indexed="81"/>
            <rFont val="Tahoma"/>
            <family val="2"/>
          </rPr>
          <t>J_Fernandez:</t>
        </r>
        <r>
          <rPr>
            <sz val="9"/>
            <color indexed="81"/>
            <rFont val="Tahoma"/>
            <family val="2"/>
          </rPr>
          <t xml:space="preserve">
Cambiar programación a 2013
</t>
        </r>
      </text>
    </comment>
    <comment ref="Q18" authorId="0" shapeId="0">
      <text>
        <r>
          <rPr>
            <b/>
            <sz val="9"/>
            <color indexed="81"/>
            <rFont val="Tahoma"/>
            <family val="2"/>
          </rPr>
          <t>J_Fernandez:</t>
        </r>
        <r>
          <rPr>
            <sz val="9"/>
            <color indexed="81"/>
            <rFont val="Tahoma"/>
            <family val="2"/>
          </rPr>
          <t xml:space="preserve">
reprogramado
</t>
        </r>
      </text>
    </comment>
    <comment ref="R18" authorId="1" shapeId="0">
      <text>
        <r>
          <rPr>
            <b/>
            <sz val="9"/>
            <color indexed="81"/>
            <rFont val="Tahoma"/>
            <family val="2"/>
          </rPr>
          <t>Jackelin Fernandez:</t>
        </r>
        <r>
          <rPr>
            <sz val="9"/>
            <color indexed="81"/>
            <rFont val="Tahoma"/>
            <family val="2"/>
          </rPr>
          <t xml:space="preserve">
SE REPROGARA, META
</t>
        </r>
      </text>
    </comment>
    <comment ref="Q20" authorId="0" shapeId="0">
      <text>
        <r>
          <rPr>
            <b/>
            <sz val="9"/>
            <color indexed="81"/>
            <rFont val="Tahoma"/>
            <family val="2"/>
          </rPr>
          <t>J_Fernandez:</t>
        </r>
        <r>
          <rPr>
            <sz val="9"/>
            <color indexed="81"/>
            <rFont val="Tahoma"/>
            <family val="2"/>
          </rPr>
          <t xml:space="preserve">
reprogramado
</t>
        </r>
      </text>
    </comment>
    <comment ref="R33" authorId="1" shapeId="0">
      <text>
        <r>
          <rPr>
            <b/>
            <sz val="9"/>
            <color indexed="81"/>
            <rFont val="Tahoma"/>
            <charset val="1"/>
          </rPr>
          <t>Jackelin Fernandez:</t>
        </r>
        <r>
          <rPr>
            <sz val="9"/>
            <color indexed="81"/>
            <rFont val="Tahoma"/>
            <charset val="1"/>
          </rPr>
          <t xml:space="preserve">
REPROGRAMADO
</t>
        </r>
      </text>
    </comment>
    <comment ref="P37" authorId="0" shapeId="0">
      <text>
        <r>
          <rPr>
            <b/>
            <sz val="9"/>
            <color indexed="81"/>
            <rFont val="Tahoma"/>
            <family val="2"/>
          </rPr>
          <t>J_Fernandez:</t>
        </r>
        <r>
          <rPr>
            <sz val="9"/>
            <color indexed="81"/>
            <rFont val="Tahoma"/>
            <family val="2"/>
          </rPr>
          <t xml:space="preserve">
reprogramado</t>
        </r>
      </text>
    </comment>
    <comment ref="K38" authorId="0" shapeId="0">
      <text>
        <r>
          <rPr>
            <b/>
            <sz val="9"/>
            <color indexed="81"/>
            <rFont val="Tahoma"/>
            <family val="2"/>
          </rPr>
          <t>J_Fernandez:</t>
        </r>
        <r>
          <rPr>
            <sz val="9"/>
            <color indexed="81"/>
            <rFont val="Tahoma"/>
            <family val="2"/>
          </rPr>
          <t xml:space="preserve">
Se modificó la meta</t>
        </r>
      </text>
    </comment>
  </commentList>
</comments>
</file>

<file path=xl/sharedStrings.xml><?xml version="1.0" encoding="utf-8"?>
<sst xmlns="http://schemas.openxmlformats.org/spreadsheetml/2006/main" count="4182" uniqueCount="2230">
  <si>
    <t>HUBO PARTICIPACION COMUNIDAD</t>
  </si>
  <si>
    <t>MUNICIPALIDAD DE HEREDIA</t>
  </si>
  <si>
    <t>SE INCLUYO DENTRO POA Y PRESUPUESTO 2012</t>
  </si>
  <si>
    <t>SE INCLUYO DENTRO POA Y PRESUPUESTO 2015</t>
  </si>
  <si>
    <t>PLAN DE DESARROLLO MUNICIPAL A MEDIANO PLAZO</t>
  </si>
  <si>
    <t>SE INCLUYO DENTRO POA Y PRESUPUESTO 2013</t>
  </si>
  <si>
    <t>SE INCLUYO DENTRO POA Y PRESUPUESTO 2014</t>
  </si>
  <si>
    <t>PERIODO 2012-2022</t>
  </si>
  <si>
    <t xml:space="preserve"> NO SE INCLUYO POA Y PRESUPUESTO 2013</t>
  </si>
  <si>
    <t>NO SE INCLUYO POA Y PRESUPUESTO 2014</t>
  </si>
  <si>
    <t>AREA ESTRATEGICA:  GESTION AMBIENTAL Y ORDENAMIENTO TERRITORIAL</t>
  </si>
  <si>
    <t>PENDIENTE 2013</t>
  </si>
  <si>
    <t>Pendiente a Dic.2014</t>
  </si>
  <si>
    <t>SEGUIMIENTO PLAN MEDIANO PLAZO</t>
  </si>
  <si>
    <t>PLAN DE DESARROLLO LARGO PLAZO</t>
  </si>
  <si>
    <t>PLAN DE DESARROLLO MEDIANO PLAZO</t>
  </si>
  <si>
    <t>AÑO 2012</t>
  </si>
  <si>
    <t>AÑO 2013</t>
  </si>
  <si>
    <t>AÑO 2014</t>
  </si>
  <si>
    <t>AÑO 2015</t>
  </si>
  <si>
    <t>AÑO 2016</t>
  </si>
  <si>
    <t>OBJETIVO ESTRATEGICO</t>
  </si>
  <si>
    <t>ACCION ESTRATEGICA</t>
  </si>
  <si>
    <t>INDICADOR</t>
  </si>
  <si>
    <t>PERIODO EJECUCION</t>
  </si>
  <si>
    <t>RESPONSABLE</t>
  </si>
  <si>
    <t>AREA ESTRATEGICA</t>
  </si>
  <si>
    <t>OBJETIVO</t>
  </si>
  <si>
    <t>PROYECTO</t>
  </si>
  <si>
    <t>METAS</t>
  </si>
  <si>
    <t>PESO META</t>
  </si>
  <si>
    <t>INST. CON QUE SE DEBE COORDINAR</t>
  </si>
  <si>
    <t>RESULTADOS ESPERADOS</t>
  </si>
  <si>
    <t>META INCLUIDA 2012</t>
  </si>
  <si>
    <t>GRADO DE CUMPLIMIENTO A DIC. 2012</t>
  </si>
  <si>
    <t>PENDIENTE A DIC. 2012</t>
  </si>
  <si>
    <t>META INCLUIDA 2013</t>
  </si>
  <si>
    <t>GRADO DE CUMPLIMIENTO A DIC. 2013</t>
  </si>
  <si>
    <t>PENDIENTE A DIC. 2013</t>
  </si>
  <si>
    <t>META INCLUIDA 2014</t>
  </si>
  <si>
    <t>GRADO DE CUMPLIMIENTO A DIC. 2014</t>
  </si>
  <si>
    <t>PENDIENTE A DIC. 2014</t>
  </si>
  <si>
    <t>META INCLUIDA 2015</t>
  </si>
  <si>
    <t>GRADO DE CUMPLIMIENTO A DIC. 2015</t>
  </si>
  <si>
    <t>PENDIENTE A DIC. 2015</t>
  </si>
  <si>
    <t>META INCLUIDA 2016</t>
  </si>
  <si>
    <t>GRADO DE CUMPLIMIENTO A DIC. 2016</t>
  </si>
  <si>
    <t>PENDIENTE A DIC. 2016</t>
  </si>
  <si>
    <t>INICIO</t>
  </si>
  <si>
    <t>FINAL</t>
  </si>
  <si>
    <t>Lograr el ordenamiento territorial y desarrollo urbano sostenible del cantón primero de Heredia</t>
  </si>
  <si>
    <t>LP  1.4.Formular e implementar el Plan de Ordenamiento Territorial Cantonal</t>
  </si>
  <si>
    <t>LP 1.4.1. a LP 1.4.4. Un Plan de Ordenamiento Territorial y un Plan Regulador aprobados a diciembre de 2014 y en implementación a partir de enero 2015 (Supeditado a la aprobación del Plan Regional).</t>
  </si>
  <si>
    <t>DIRECCION OPERACIONES</t>
  </si>
  <si>
    <t>GESTION AMBIENTAL Y ORDENAMIENTO TERRITORIAL</t>
  </si>
  <si>
    <t>1.4. Programa de Ordenamiento Territorial</t>
  </si>
  <si>
    <t>Favorecer el ordenamiento territorial del Cantón Central de Heredia mediante la elaboración y aplicación del Plan Regulador, la supervisión del cumplimiento de la Ley de Estacionamiento Autorizado y un adecuado ordenamiento vial.</t>
  </si>
  <si>
    <r>
      <t>1.4.1.</t>
    </r>
    <r>
      <rPr>
        <sz val="7"/>
        <rFont val="Times New Roman"/>
        <family val="1"/>
      </rPr>
      <t xml:space="preserve">        </t>
    </r>
    <r>
      <rPr>
        <sz val="11"/>
        <rFont val="Calibri"/>
        <family val="2"/>
        <scheme val="minor"/>
      </rPr>
      <t>Cumplir con el Plan Regulador  del cantón Central de Heredia.</t>
    </r>
  </si>
  <si>
    <t>1.4.1.1.Aprobación del Plan Regulador</t>
  </si>
  <si>
    <t>Plan Aprobado</t>
  </si>
  <si>
    <t>Dirección de Operaciones</t>
  </si>
  <si>
    <t>Recuperar áreas  con usos de suelos no deseados.</t>
  </si>
  <si>
    <t>Convocar a 12 reuniones para revisión y aprobación del Plan Regulador del Cantón Central de Heredia</t>
  </si>
  <si>
    <t>Durante el último trimestre no se realizaorn reuniones debido a que se está proceso revisión Plan Regulador  por parte de la Dirección Jurídica.</t>
  </si>
  <si>
    <t>Tramitar para su aprobación el Plan Regulador del Cantón de Heredia, ante el INVU y SETENA, y posteriormente su publicación en Gaceta</t>
  </si>
  <si>
    <t>1.4.1.2.Aplicar el Plan Regulador del Cantón de Heredia</t>
  </si>
  <si>
    <t>Plan Aplicado</t>
  </si>
  <si>
    <t>reprogramar</t>
  </si>
  <si>
    <t>SE ELIMINO META</t>
  </si>
  <si>
    <r>
      <t>1.4.2.</t>
    </r>
    <r>
      <rPr>
        <sz val="7"/>
        <rFont val="Times New Roman"/>
        <family val="1"/>
      </rPr>
      <t xml:space="preserve">        </t>
    </r>
    <r>
      <rPr>
        <sz val="11"/>
        <rFont val="Calibri"/>
        <family val="2"/>
        <scheme val="minor"/>
      </rPr>
      <t>Elaborar el Plan Regulador de Vara Blanca.</t>
    </r>
  </si>
  <si>
    <t>1.4.2.1.Elaborar el Plan Regulador de Vara Blanca</t>
  </si>
  <si>
    <t>Plan Elaborado</t>
  </si>
  <si>
    <t>Mejor ordenamiento y desarrollo para la comunidad</t>
  </si>
  <si>
    <t>Iniciar el proceso de Elaboración de Especificacioens Técnicas para la Contratación del Plan Regulador de Vara Blanca( se reprogramó la meta)</t>
  </si>
  <si>
    <t>Reprogramado</t>
  </si>
  <si>
    <r>
      <t>1.4.3.</t>
    </r>
    <r>
      <rPr>
        <sz val="7"/>
        <rFont val="Times New Roman"/>
        <family val="1"/>
      </rPr>
      <t xml:space="preserve">        </t>
    </r>
    <r>
      <rPr>
        <sz val="11"/>
        <rFont val="Calibri"/>
        <family val="2"/>
        <scheme val="minor"/>
      </rPr>
      <t>Ampliar y mantener  la rotulación vial y rotulación vertical de ordenamiento postal</t>
    </r>
  </si>
  <si>
    <t>1.4.3.1.Realizar 35,000 demarcaciones horizontales y señalización vertical durante todo el período.</t>
  </si>
  <si>
    <t>Porcentaje de demarcaciones  realizadas</t>
  </si>
  <si>
    <t>Estacionamiento Autorizado</t>
  </si>
  <si>
    <t>COLOSEVI</t>
  </si>
  <si>
    <t>Mejor orientación y señalización vial.</t>
  </si>
  <si>
    <t>Realizar 2000 demarcaciones anuales en el cantón central de Heredia.                 -Realizar la demarcación de 30000 metros lineales anuales en el cantón central de Heredia.</t>
  </si>
  <si>
    <t>Realizar 3000 demarcaciones anuales en el cantón central de Heredia
Realizar la demarcación  de 40000 metros lineales anuales en el cantón central de Heredia.</t>
  </si>
  <si>
    <t>Realizar 2000 demarcaciones anuales en el Cantón central de Heredia.Realizar la demarcación de 30.000 metros lineales anuales en el Cantón Central de Heredia.</t>
  </si>
  <si>
    <t>Cumplimiento 100%</t>
  </si>
  <si>
    <t>Realizar 2000 demarcaciones anuales en el cantón Central de Heredia.Realizar la demarcación de 30.000 metros lineales anuales en el Cantón Central de Heredia.</t>
  </si>
  <si>
    <t>Realizar la demarcación de 45.000 metros lineales anuales en el Cantón Central de Heredia.</t>
  </si>
  <si>
    <t>1.4.3.2.Realizar la rotulación vertical de ordenamiento postal  del área urbana del cantón.</t>
  </si>
  <si>
    <t>Porcentaje de rotulación realizada</t>
  </si>
  <si>
    <t>Realizar la señalización informativa en el casco Central de Heredia con las nomenclatura de Calles y Avenidas.(PE-01-2012)</t>
  </si>
  <si>
    <t>1.4.4.Supervisión zonas de estacionamiento autorizado</t>
  </si>
  <si>
    <t>1.4.4.1.Realizar  4000 recorridos anuales por parte de los inspectores para supervisar las zonas de estacionamiento.</t>
  </si>
  <si>
    <t>Porcentaje de recorridos realizados</t>
  </si>
  <si>
    <t>Supervisar la utilización adecuada de las zonas de estacionamiento</t>
  </si>
  <si>
    <t>Realizar 240 recorridos anuales, por funcionario relando las zonas de estacionamiento a todo vehículo que infrinja la ley.</t>
  </si>
  <si>
    <t>Realizar 240 recorridos anuales,por  funcionario regulando las zonas de estacionamiento  a todo vehículo que infrinja la ley</t>
  </si>
  <si>
    <t>Realizar 4000 recorridos anuales por parte de los Inspectores para supervisar las zonas de estacionamiento.</t>
  </si>
  <si>
    <t>Realizar  4000 recorridos anuales por parte de los inspectores para supervisar las zonas de estacionamiento.</t>
  </si>
  <si>
    <t>LP 1.4.6.1. Un plan de comunicación sobre el Plan de Ordenamiento Territorial y Plan Regulador formulado a diciembre 2014 y en implementación a partir de enero 2015. (Supeditado a la aprobación del Plan Regional)</t>
  </si>
  <si>
    <t xml:space="preserve">1.4.6.Plan de comunicación sobre el Plan de Ordenamiento Territorial y Plan Regulador </t>
  </si>
  <si>
    <t>1.4.6.1.Formular un plan de comunicación sobre el Plan de Ordenamiento Territorial y Plan Regulador formulado a diciembre 2013 (Supeditado a la aprobación del Plan Regional)</t>
  </si>
  <si>
    <t>Plan formulado</t>
  </si>
  <si>
    <t>INVU, SETENA</t>
  </si>
  <si>
    <t>Dar a conocer el Plan Regulador</t>
  </si>
  <si>
    <t>Elaborar un Plan de Comunicación sobre el Plan de Ordenamiento Territorial y Plan Regulador.</t>
  </si>
  <si>
    <t>reprogramado</t>
  </si>
  <si>
    <t xml:space="preserve">LP 1.4.6.2.Al menos el 10% anual de la población adulta del cantón tiene conocimiento del plan de ordenamiento territorial cantonal una vez implementado el Plan de Comunicación. </t>
  </si>
  <si>
    <t>1.4.6.2.Implementación del 25 %  del plan de comunicación sobre el Plan de Ordenamiento Territorial y Plan Regulador formulado a diciembre 2013 (Supeditado a la aprobación del Plan Regional)</t>
  </si>
  <si>
    <t>Implementación realizada</t>
  </si>
  <si>
    <t>LP 1.4.7.La huella constructiva no supera los 0,208 km2 construidos anualmente a partir de la aprobación del Plan Regulador.</t>
  </si>
  <si>
    <t>1.4.7.Control  de la huella constructiva .</t>
  </si>
  <si>
    <t>1.4.7.1.Controlar que la huella constructiva no supera los 0,208 km2 construidos anualmente a partir de la aprobación del Plan Regulador.</t>
  </si>
  <si>
    <t>No.km2 cosnstruidos anualmente</t>
  </si>
  <si>
    <t xml:space="preserve">LP 1.4. y LP  2.1. Formular e implementar un Plan de Gestión Vial. </t>
  </si>
  <si>
    <t>1.4.5. Un Plan de Gestión Vial formulado y aprobado a diciembre de 2013 y en implementación a partir de enero 2014.</t>
  </si>
  <si>
    <t>Dirección Operativa</t>
  </si>
  <si>
    <t>1.4.5. Ordenamiento vial</t>
  </si>
  <si>
    <t>1.4.5.1.Presentar al MOPT una propuesta de ordenamiento vial</t>
  </si>
  <si>
    <t>Propuesta presentada</t>
  </si>
  <si>
    <t>Dirección Operaciones</t>
  </si>
  <si>
    <t>MOPT, Comisión Tránsito</t>
  </si>
  <si>
    <t>Mejorar el tránsito vehicular</t>
  </si>
  <si>
    <t>Elaborar un Plan de Gestión Vial</t>
  </si>
  <si>
    <t>A diciembre 2013 quedó adjudicado se tiene programado que esté ejecutado a abril 2014</t>
  </si>
  <si>
    <t>Cumplió 100%</t>
  </si>
  <si>
    <t>1.4.5.2. Implementación del 33% Plan de Gestión Vial</t>
  </si>
  <si>
    <t>Iniciar el proceso de Implemetación del Plan de Gestión Vial( se rprogramó)</t>
  </si>
  <si>
    <t>SE REPROGRA O META</t>
  </si>
  <si>
    <t>Implementacion de 2 estudios planificados en el Plan Vial.</t>
  </si>
  <si>
    <t>LP 1.5. Formular y ejecutar el Plan de Gestión de Riesgos Naturales y Sociales.</t>
  </si>
  <si>
    <t>LP 1.5.1.Un Plan de Gestión de Riesgos Naturales y Sociales formulado y aprobado a diciembre de 2013 y en implementación a partir de enero de 2014.</t>
  </si>
  <si>
    <t>1.5. Programa Gestión Riesgos Naturales y Sociales</t>
  </si>
  <si>
    <t>1.5.1. Plan de Gestión de Riesgos Naturales y Sociales.</t>
  </si>
  <si>
    <t>1.5.1.1.Formular un Plan de Gestión de Riesgos Naturales y Sociales</t>
  </si>
  <si>
    <t>Plan formulado y aprobado</t>
  </si>
  <si>
    <t>Comité Municipal de Emergencias, Ministerio de Salud, Bomberos, CNE, Cruz Roja, M. Seguridad, ESPH</t>
  </si>
  <si>
    <t>Mejora la calidad de vida de las pesonas</t>
  </si>
  <si>
    <t>Coordinación con la Comicion Local de Emergencia para realizar los primeros estudios para le plan de emergencias cantonal, se programa para IV trimestre según oficio DIP-GA-019-2013</t>
  </si>
  <si>
    <t xml:space="preserve">Según oficio DIP-GA-189-2013, se realizó proceso de especificaciones técncias y está proceso de contratación </t>
  </si>
  <si>
    <t>Cumplimida durante 2014</t>
  </si>
  <si>
    <t>1.5.1.2. Implementación  33 % del  Plan de Gestión de Riesgos Naturales y Sociales  a partir de enero de 2014.</t>
  </si>
  <si>
    <t>Plan implementado</t>
  </si>
  <si>
    <t xml:space="preserve">Coordinacion con la Comocion Local de Emergencia  Plan de Gestión de Riesgos Naturales y Sociales </t>
  </si>
  <si>
    <t>Dotar de implementos y materiales adecuados para la atención de emergencias a los miembros del CME 
.Realizar estudios técnicos que permitan tomar decisiones para la mitigación de riesgos y disminuir la vulnerabilidad de las familias del Cantón de Heredia y ser un insumo para la actualización del Plan de Emergencias del Cantón
Disponer de materiales y maquinaria para dar soporte en la atención de emergencias que se presenten en el Cantón de Heredia.</t>
  </si>
  <si>
    <t>Dentro de las acciones se tenía programado la compra de implementos y materiales para la atención de emergencias, pero en los  diferentes eventos suscitados en el año se han  utilizado los implementos que nos han facilitado la Comisión Nacional de Emergencias por lo que no se han comprado los implementos propios del Comité Municipal de Emergencia Cantonal.  Adicionalmente estaba programado la realización de estudios técnicos que permitan tomar decisiones para la mitigación de riesgos y disminuir la vulnerabilidad, los cuales no se han contratado debido a que se está en un proceso de diagnóstico para poder realizar la contratación</t>
  </si>
  <si>
    <t>Realizar estudios técnicos que permitan desarollar procesos de gestion de riesgo, disminuyendo la vulnerabilidad de las comunidades heredianas y que a su vez sean insumos para la actualización del Plan de Emergencia Cantonal.</t>
  </si>
  <si>
    <t>LP 1.5.2. Una línea base e inventario de áreas vulnerables realizado a julio 2013.</t>
  </si>
  <si>
    <t>1.5.2. Una línea base e inventario de áreas vulnerables realizado a julio 2013.</t>
  </si>
  <si>
    <t>1.5.2.1. Una línea base e inventario de áreas vulnerables realizado a julio 2013.</t>
  </si>
  <si>
    <t>Línea base realizada</t>
  </si>
  <si>
    <t xml:space="preserve">Un inventario  de los sitios mas vulnerables del canton </t>
  </si>
  <si>
    <t>LP 1.5.3. Una comisión de gestión de riesgo local por distrito conformada a diciembre 2012 y en operación a partir de enero 2013.</t>
  </si>
  <si>
    <t xml:space="preserve">1.5.3. Comisión de gestión de riesgo local por distrito conformada a diciembre 2012 </t>
  </si>
  <si>
    <t xml:space="preserve">1.5.3.1. Crear una comisión de gestión de riesgo local por distrito conformada a diciembre 2012 </t>
  </si>
  <si>
    <t>comisón creada</t>
  </si>
  <si>
    <t>1.5.3.2. Implemetación de la Comisión de Gestión de Riesgo Local por distrito.</t>
  </si>
  <si>
    <t>Comisión en funcionamiento</t>
  </si>
  <si>
    <t>Según oficio DIP-GA-019-2013 . Está trabajando  y la coordinadora e s la señora Vicealcaldesa</t>
  </si>
  <si>
    <t>LP 1.5.4. Un programa de formación de capacidades en gestión de riesgos locales formulado a julio 2013 y en implementación a partir de agosto 2013.</t>
  </si>
  <si>
    <t>1.5.4. Programa de formación de capacidades en gestión de riesgos locales.</t>
  </si>
  <si>
    <t>1.5.4.1. Un programa de formación de capacidades en gestión de riesgos locales formulado a julio 2013 y en implementación a partir de agosto 2013.</t>
  </si>
  <si>
    <t>Programa formulado</t>
  </si>
  <si>
    <t>Esta programa se está realaiconadoa con la Formulación de un Plan de Gestión de Riesgos  a cargo del comuté local de Emergencia cuya coordinadorea es Angela Aguilar</t>
  </si>
  <si>
    <t>Cumplido durante el año 2014</t>
  </si>
  <si>
    <t>1.5.4.2. Implementación  del 34%  programa de formación de capacidades en gestión de riesgos locales a partir de agosto 2013.</t>
  </si>
  <si>
    <t>Porcentaje de implemetación</t>
  </si>
  <si>
    <t>N/A</t>
  </si>
  <si>
    <t xml:space="preserve">Coordinacion con la Comocion Local de Emergencia  programa de formación de capacidades en gestión de riesgos locales </t>
  </si>
  <si>
    <t>Cumplimiento 100% 2013 y 2014</t>
  </si>
  <si>
    <t>Realizar mínimo un taller y/o actividad de capacitación al año en los distritos del Cantón que permitan mejorar las capacidades en la atención de emergencias</t>
  </si>
  <si>
    <t>Ralizar 1 taller por distrito y/o actividad de capacitación al año en los cinco distritos  del Cantón que permitan mejorar las condiciones de riego y vulnerabilidad de las comunidades.</t>
  </si>
  <si>
    <t>LP 1.5.4. Al menos 50 personas capacitadas (10 por distrito) en gestión de riesgos locales a julio 2014.</t>
  </si>
  <si>
    <t>1.5.4.2. Al menos 50 personas capacitadas (10 por distrito) en gestión de riesgos locales a julio 2014.</t>
  </si>
  <si>
    <t>No. personas capacitadas</t>
  </si>
  <si>
    <t xml:space="preserve">Realiar una taller de gestion de riesgo en los 4 distritos centrales del canton </t>
  </si>
  <si>
    <t>Está en proceso de contratación de una consultoría para que formule el Plan de Gestión de Riesgos y capacitae a la comunidad</t>
  </si>
  <si>
    <t>Promover la gestión ambiental y el mejoramiento continuo de la calidad de vida de los heredianos</t>
  </si>
  <si>
    <t>LP 1.1. Elaborar e implementar un Plan Cantonal de Manejo de Residuos Sólidos.</t>
  </si>
  <si>
    <t>LP 1.1.1.  y LP 1.1.2. Un Plan Cantonal de Manejo de Residuos Sólidos formulado y aprobado al 30 de junio de 2013 y en implementación a partir de julio 2014.</t>
  </si>
  <si>
    <t xml:space="preserve">Dirección Operativa (Coordinación) </t>
  </si>
  <si>
    <t>1.1. Programa de Residuos Sólidos</t>
  </si>
  <si>
    <t>Impulsar la gestión del manejo integral  de los residuos</t>
  </si>
  <si>
    <t>1.1.1. Impulsar programas de reciclaje en el Cantón de Heredia.</t>
  </si>
  <si>
    <t>1.1.1.1. Realizar 5 talleres anuales para las comunidades sobre el manejo de residuos sólidos</t>
  </si>
  <si>
    <t>Porcentaje  Talleres realizados</t>
  </si>
  <si>
    <t xml:space="preserve">Encargado de Gestión Ambiental </t>
  </si>
  <si>
    <t>Bandera Azul-ESPH-AyA, Depto. Gestión Ambiental INA, INA.</t>
  </si>
  <si>
    <t>Menor Contaminación, contribución al cuido del ambiente.</t>
  </si>
  <si>
    <t xml:space="preserve"> Realizar 5 talleres reciclaje en el Canton de Heredia </t>
  </si>
  <si>
    <t>Realizar 5 talleres anuales para las comunidades sobre el manejo de residuos sólidos</t>
  </si>
  <si>
    <t>Realizar 20 capacitaciones (charlas, talleres, capacitaciones) anuales para toda la ciudadanía del Cantón, sobre la Gestión Integral de residuos sólidos, como parte del Plan Municipal para la Gestión Integral de Residuos Sólidos</t>
  </si>
  <si>
    <t>1.1.1.2.Realizar 11 charlas anuales en los Centros Educativos, sobre el manejo de residuos sólidos</t>
  </si>
  <si>
    <t>Porcentaje de  Charlas realizadas</t>
  </si>
  <si>
    <t>Realizar 11 charas anuales en los centros educativos sobre el manejo de residuos sólidos</t>
  </si>
  <si>
    <t>Realizar 11 charlas anuales en los Centros Educativos, sobre el manejo de residuos sólidos</t>
  </si>
  <si>
    <t>1.1.2.Crear Centros de acopio Cantonal</t>
  </si>
  <si>
    <t xml:space="preserve">1.1.2.1. Conclusión del   Diagnostico </t>
  </si>
  <si>
    <t>Diagnóstico elaborado</t>
  </si>
  <si>
    <t>Encargado de Gestión Ambiental (Encargado de la nueva ley de Residuos Sólidos)</t>
  </si>
  <si>
    <t xml:space="preserve"> Depto. Gestión Ambiental Municipalidad, Ministerio de Salud .</t>
  </si>
  <si>
    <t>Conclucion del Diagnostico</t>
  </si>
  <si>
    <t xml:space="preserve">1.1.2.2.Elaboracion del plan  integral de residuos sólidos </t>
  </si>
  <si>
    <t>Elaboracion del Plan Integral de Residuos Sólidos Cantonal
Diseño y Construcción del Centro de Acopio</t>
  </si>
  <si>
    <t>Elaboracion de los Reglamentos del Plan  Integral de Residuos Sólidos del Cantón</t>
  </si>
  <si>
    <t>Falta solo aprobación Concejo M. ( Meta concluída 100%)</t>
  </si>
  <si>
    <t>1.1.2.5.Implementación proyecto</t>
  </si>
  <si>
    <t>Porcentaje proyecto implementado</t>
  </si>
  <si>
    <t xml:space="preserve">Implementación de dos programas contemplados dentro del Plan Integral de Residuos Sólidos del Cantón </t>
  </si>
  <si>
    <t>Implementación de un programa de Educación Ciudadana mediante la distribución de material educativo en diferentes formatos, como parte del Plan Municipal para la Gestión Integral de Residuos Sólidos
Generación e Implementación de un Sistema de incetivos municipales como parte del Plan Municipal para la Gestión Integral de Residuos Sólidos
Impulsar sistemas alternativos para la recolección selectiva de residuos valorizables, como parte del Plan Municipal para la Gestión Integral de Residuos Sólidos</t>
  </si>
  <si>
    <t>Generación e Implementación de un Sistema de incentivos municipales como parte del Plan Municipal para la Gestión Integral de Residuos Sólidos</t>
  </si>
  <si>
    <t>LP 1.3. Fomentar un programa de recuperación de los ecosistemas naturales de las áreas de protección de ríos y áreas públicas del Cantón de Heredia.</t>
  </si>
  <si>
    <t>LP 1.3.5. Un Plan de trabajo conjunto entre la Municipalidad y demás sectores relacionados formulado al 30 junio de 2012.</t>
  </si>
  <si>
    <t>DIRECCION OPERACIONES (AMBIENTE)</t>
  </si>
  <si>
    <t xml:space="preserve">1.3.5. Plan de trabajo conjunto entre la Municipalidad y demás sectores relacionados </t>
  </si>
  <si>
    <t>1.3.5.1. Crear un  Plan de trabajo conjunto entre la Municipalidad y demás sectores relacionados formulado al 30 junio de 2012.</t>
  </si>
  <si>
    <t>Plan creado</t>
  </si>
  <si>
    <t>Unidad de ambiente</t>
  </si>
  <si>
    <t>ESPH. Empresa privada, Sociedad Civil</t>
  </si>
  <si>
    <t>Mejorar la calidad de vida de los habitantes</t>
  </si>
  <si>
    <t>Según oficio DIP-SGA-SGA-SA-004-2013, indica que es una labor anual  que se coordina con los Cómites de BAE.</t>
  </si>
  <si>
    <t>LP 1.3.6. Un Programa de protección de ríos y áreas públicas ubicadas en el Cantón de Heredia, con especies 100% nativas, en implementación a partir de diciembre 2012.</t>
  </si>
  <si>
    <t>1.3.6.Programa de protección de ríos y áreas Públicas ubicadas en el Cantón.</t>
  </si>
  <si>
    <t>1.3.6.1. Crear un Programa de protección de ríos y áreas Públicas ubicadas en el Cantón.</t>
  </si>
  <si>
    <t>Programa creado</t>
  </si>
  <si>
    <t>1.3.6.2. Implementación del 30%  Programa de protección de ríos y áreas públicas ubicadas en el Cantón</t>
  </si>
  <si>
    <t>Porcentaje de implemtación</t>
  </si>
  <si>
    <t xml:space="preserve">Reforestar 2 km anuales de las zona de proteccion de los ríos y parque municipales ubicados en la microcuencas más vulnerables del cantón </t>
  </si>
  <si>
    <t xml:space="preserve">Realizar la limpieza de 2 km anuales de los cauces de los cuerpos de agua superficiales en el catón central de Heredia. 
Reforestar 2 km anuales de las zona de proteccion de los ríos y parque municipales ubicados en la microcuencas más vulnerables del cantón 
</t>
  </si>
  <si>
    <t>Reforestar 2 km anuales de las zona de proteccion de los ríos y parque municipales ubicados en la microcuencas más vulnerables del cantón 
Realizar la limpieza de 1 km anuales de los cauces de los cuerpos de agua superficiales en el catón central de Heredia</t>
  </si>
  <si>
    <t>LP 1.3.1. a 1.3.4. Recuperados 25 km de zonas de protección de ríos y áreas públicas ubicadas en el Cantón de Heredia, en un plazo de 10 años a partir de mayo de 2013.</t>
  </si>
  <si>
    <t>1.3. Programa de Seguridad Ambiental</t>
  </si>
  <si>
    <t>Promover prácticas ecológicas que incentiven la participación local y el compromiso real con el ambiente.</t>
  </si>
  <si>
    <t>1.3.1. Rescate, protección  y limpieza de las cuencas del cantón</t>
  </si>
  <si>
    <t>1.3.1.1.Realizar la limpieza de 2  km  anuales de los cauces de los puerpos de agua superficial que se encuentran en el cantón Central de Heredia.</t>
  </si>
  <si>
    <t>Porcentaje de  km limpios</t>
  </si>
  <si>
    <t>Unidad Ambiental</t>
  </si>
  <si>
    <t>Realizar la limpieza de 2 km anuales de los cauces de los cuerpos de agua superficiales en el catón central de Heredia</t>
  </si>
  <si>
    <t>Realizar la limpieza de 1 km anuales de los cauces de los cuerpos de agua superficiales en el catón central de Heredia</t>
  </si>
  <si>
    <t>1.3.2. Reforestación y creación de zonas verdes.</t>
  </si>
  <si>
    <t>1.3.2.1.Reforestar  2  km anuales de las zona de protección de los ríos y parques municipales ubicados en al micro cuencas más vulnerables del cantón.</t>
  </si>
  <si>
    <t>Porcentaje de  km reforestados</t>
  </si>
  <si>
    <t xml:space="preserve">Reforestar 2 km anuales de kas zona de proteccion de los ríos y parque municipales ubicados en la microcuencas más vulnerables del cantón </t>
  </si>
  <si>
    <t>Reforestar 2 km anuales de las zona de proteccion de los ríos y parque municipales ubicados en la microcuencas más vulnerables del cantón</t>
  </si>
  <si>
    <t>1.3.3. Sustitución de las especies forestales  que se ubican en los parques heredianos, por las especies adecuadas a la zona de vida</t>
  </si>
  <si>
    <t xml:space="preserve">1.3.3.1.Realizar el cambio paulatino de las especies que se ubican en 2 parques Heredianos por año </t>
  </si>
  <si>
    <t>Porcentaje de  parques donde se realizó la sustitución</t>
  </si>
  <si>
    <t>Realizar el cambio paulatino de las especies que ubican en 2 parques heredianos por año</t>
  </si>
  <si>
    <t xml:space="preserve">Meta 2,22,02 Realizara la eliminacion de 25  árboles que esten siendo un riesgo para la comunidad y que no aporten a la riquesa ecologica del canton </t>
  </si>
  <si>
    <t xml:space="preserve">Realizara la eliminacion de 25  árboles que esten siendo un riesgo para la comunidad y que no aporten a la riquesa ecologica del canton </t>
  </si>
  <si>
    <t xml:space="preserve">Realizara la eliminacion de 50  árboles que esten siendo un riesgo para la comunidad y que no aporten a la riquesa ecologica del canton </t>
  </si>
  <si>
    <t xml:space="preserve">Realizar la eliminacion de 50  árboles que esten siendo un riesgo para la comunidad y que no aporten a la riquesa ecologica del canton </t>
  </si>
  <si>
    <t>1.3.4. Programas de Bandera Azul.</t>
  </si>
  <si>
    <t xml:space="preserve">1.3.4.1.Realizar las acciones  necesarias para promover los PBAE en cada comunidad </t>
  </si>
  <si>
    <t>Porcentaje de  acciones realizadas</t>
  </si>
  <si>
    <t>Unidad Ambiental y cada comité de BAE</t>
  </si>
  <si>
    <t>Programa de Bandera Azul</t>
  </si>
  <si>
    <t xml:space="preserve">Realizar las acciones  necesarias para promover los PBAE en cada comunidad </t>
  </si>
  <si>
    <t>LP 1.6. Inventariar y gestionar soluciones para los focos de contaminación hídrica, atmosférica y visual del Cantón de Heredia</t>
  </si>
  <si>
    <t>LP 1.6.1. Un Inventario de focos de contaminación hídrica, atmosférica y visual del Cantón de Heredia, coordinado con las diferentes instancias relacionadas a diciembre de 2013.</t>
  </si>
  <si>
    <t>1.6. Inventariar y gestionar soluciones para los focos de contaminación hídrica, atmosférica y visual del Cantón de Heredia</t>
  </si>
  <si>
    <t>1.6.1. Inventario de focos de contaminación hídrica, atmosférica y visual del Cantón de Heredia</t>
  </si>
  <si>
    <t>1.6.1.1. Realizar un Inventario de focos de contaminación hídrica, atmosférica y visual del Cantón de Heredia, coordinado con las diferentes instancias relacionadas a diciembre de 2013.</t>
  </si>
  <si>
    <t>Inventario realizado</t>
  </si>
  <si>
    <t>ONGs, UNA, Ministerio de Salud, MOPT y COSEVI</t>
  </si>
  <si>
    <t>Realizar un mapeo de focos de contaminación hídrica, atmosférica y visual del Cantón de Heredia, coordinado con el Ministerio de Salud.</t>
  </si>
  <si>
    <t>LP 1.6.2. Un Programa de saneamiento ambiental, con alcance en los aspectos hídricos; estudios concluidos al 2016, implementado a partir de julio de 2017.</t>
  </si>
  <si>
    <t>1.6.2.Programa de saneamiento ambiental, con alcance en los aspectos hídricos; estudios concluidos al 2016.</t>
  </si>
  <si>
    <t>1.6.2.1. Crear un Programa de saneamiento ambiental, con alcance en los aspectos hídricos; estudios concluidos al 2016</t>
  </si>
  <si>
    <t>LP 1.6.3. Un plan de acción para mitigación de los focos contaminación del Cantón de Heredia, diseñado a marzo de 2014 y en implementación  a partir de setiembre de 2014.</t>
  </si>
  <si>
    <t xml:space="preserve">1.6.3.Plan de acción para mitigación de los focos contaminación del Cantón de Heredia, </t>
  </si>
  <si>
    <t xml:space="preserve">1.6.3.1.Crear un plan de acción para mitigación de los focos contaminación del Cantón de Heredia, diseñado a marzo de 2014 </t>
  </si>
  <si>
    <t>Crear un plan de acción para mitigación de los focos contaminación del Cantón de Heredia</t>
  </si>
  <si>
    <t>LP 1.6.3. Reducidos los focos de contaminación por gases en un 25% a diciembre de 2022.</t>
  </si>
  <si>
    <t>1.6.3.2. Implementación del 26% Plan de acción para mitigar los focos de contaminación del cantón de Heredia.</t>
  </si>
  <si>
    <t xml:space="preserve">Realizar una propuesta con el fin de mitigar los puntos de contaminacion en el canton de Heredia </t>
  </si>
  <si>
    <t>Realizar solicitud al MOPT mediante nota escrita, con el fin de modificar las paradas de bus y bajar la concentración de gases nocivos en los puntos de mayor concentración de contaminación atmosférica.</t>
  </si>
  <si>
    <t>LP 1.6.4. Un Reglamento para la normalización y homogenización de la rotulación en el Cantón de Heredia, diseñado y aprobado a diciembre de 2014 y en implementación a partir de enero de 2015</t>
  </si>
  <si>
    <t>1.6.4. Reglamento para la normalización y homogenización de la rotulación en el Cantón de Heredia.</t>
  </si>
  <si>
    <t>1.6.4.1.Diseñar un Reglamento para la normalización y homogenización de la rotulación en el Cantón de Heredia</t>
  </si>
  <si>
    <t>Reglamento deseñado y aprobdo</t>
  </si>
  <si>
    <t>Se incluyó presupouesto 2014, se etá solicitando reprogramación Plan de Desarrollo</t>
  </si>
  <si>
    <t>Diseñar un Reglamento para la normalización y homogenización de la rotulación en el Cantón de Heredia</t>
  </si>
  <si>
    <t>1.6.4.2.Implementación del 30% del Reglamento para la normalización y homogenización de la rotulación en el Cantón de Heredia</t>
  </si>
  <si>
    <t>PROCESO DE REPROGRAMAR</t>
  </si>
  <si>
    <t>Cumplir el 100% acciones de implementación del reglamento de Normalización y homogenixación de la rotulación del Cantón de Heredia.</t>
  </si>
  <si>
    <t>LP 1.2.  Desarrollar un programa de comunicación y sensibilización en temas ambientales en la población del Cantón de Heredia.</t>
  </si>
  <si>
    <t>LP 1.2.1. Al menos un 25% de la población del cantón toma conciencia de la importancia de los temas ambientales al tercer año de implementado el programa de comunicación y sensibilización.</t>
  </si>
  <si>
    <t>1.2. Programa de gestión ambiental</t>
  </si>
  <si>
    <t>Inducir al cambio en la conducta humana con respecto al ambiente.</t>
  </si>
  <si>
    <t>1.2.1. Campañas de capacitación y concientización en materia ambiental.</t>
  </si>
  <si>
    <t>1.2.1.1.Realizar  5 charlas anuales  sobre el temas de reciclaje y recurso hídrico</t>
  </si>
  <si>
    <t>Porcentaje de  charlas realizadas</t>
  </si>
  <si>
    <t xml:space="preserve">Unidad Ambiental </t>
  </si>
  <si>
    <t>Realizar 5  charas anuales sobre el tema de reciclaje y recurs hídrico</t>
  </si>
  <si>
    <t>Realizar 4  charas anuales sobre el tema de reciclaje y recurs hídrico</t>
  </si>
  <si>
    <t>Realizar 5  charlas anuales sobre el tema de reciclaje y recurso hídrico</t>
  </si>
  <si>
    <t>LP 1.2.2. Un programa de comunicación y sensibilización en temas ambientales formulado a marzo 2013 e iniciado a mayo 2013.</t>
  </si>
  <si>
    <t xml:space="preserve">1.2.2.Programa de Comunicación y Sensibilización  en temas ambientales </t>
  </si>
  <si>
    <t>1.2.2.1.Crear un  programa de comunicación y sensibilización en temas ambientales formulado a marzo 2013</t>
  </si>
  <si>
    <t>MEP</t>
  </si>
  <si>
    <t>Crear conciencia ambiental</t>
  </si>
  <si>
    <t>Formular un programa de comunicación y sensibilización en temas ambientales</t>
  </si>
  <si>
    <t>METAS INCLUIDAS POA 2016</t>
  </si>
  <si>
    <t>AREA ESTRATEGICA: INVERSION PUBLICA</t>
  </si>
  <si>
    <t>PLAN DE DESARROLLO MUNICIPAL MEDIANO PLAZO</t>
  </si>
  <si>
    <t>LP 2.1. y LP 2.2. Formular e implementar un plan de mantenimiento, mejoramiento, habilitación y embellecimiento de la infraestructura pública municipal.</t>
  </si>
  <si>
    <t>LP 2.1.11. Un inventario anual de áreas públicas municipales por distrito realizado a partir de 2012.</t>
  </si>
  <si>
    <t>Dirección Operativa y Dirección de Servicios (Tributación y Catastro)</t>
  </si>
  <si>
    <t>INVERSION PUBLICA</t>
  </si>
  <si>
    <t xml:space="preserve">2.1.11. Inventario de áreas públicas municipales </t>
  </si>
  <si>
    <t>2.1.11.1.Un inventario anual de áreas públicas municipales por distrito realizado a partir de 2012.</t>
  </si>
  <si>
    <t>El inventario se realizó duante el año 2012 y se mantiene actualizado</t>
  </si>
  <si>
    <t>Según se indicó por correo electrónico</t>
  </si>
  <si>
    <t>Actualizar la base de datos de las areas públicas del cantón.</t>
  </si>
  <si>
    <t>LP 2.1.12. Un Plan Maestro de alcantarillado pluvial  municipal realizado a diciembre de 2022.</t>
  </si>
  <si>
    <t>2.1.12. Plan Maestro de alcantarillado pluvial  municipal .</t>
  </si>
  <si>
    <t>2.1.12.1.Realizar el 50% del  Plan Maestro de alcantarillado pluvial  municipal realizado a diciembre de 2016.</t>
  </si>
  <si>
    <t>Plan Maestro realizado</t>
  </si>
  <si>
    <t>Se incluyó presupuesto 2013</t>
  </si>
  <si>
    <t>Un Plan Maestro de Alcantarillado Pluvial Municipal realizado a diciembre del 2022</t>
  </si>
  <si>
    <t>Al diciembre 2013 quedó adjudicado , se ejeuctará durante 2014</t>
  </si>
  <si>
    <t>Cumplimiento 25%</t>
  </si>
  <si>
    <t>Se contrató el estudio la orden de inicio se dio 10 de diiembre para entregar 21 setiembre 2015</t>
  </si>
  <si>
    <t>Tiene un cumplimiento de lo programado 2013 de un 90%</t>
  </si>
  <si>
    <t>Continuar con la elaboración del Plan Maestro de Alcantarillado Pluvial Municipal</t>
  </si>
  <si>
    <t>LP 2.1.13.Al menos 2 áreas públicas intervenidas anualmente a partir de enero de 2012.</t>
  </si>
  <si>
    <t xml:space="preserve">2.1.13.Intervención  áreas públicas </t>
  </si>
  <si>
    <t>2.1.13.1. Al menos 2 áreas públicas intervenidas anualmente a partir de enero de 2012.</t>
  </si>
  <si>
    <t>No. áreas públicas intervenidas</t>
  </si>
  <si>
    <t>Proyectos inversión</t>
  </si>
  <si>
    <t>Remodelación, restauracióm y mobiliario de cuatro áreas públias en los distritos de Heredia, San Francisco, Ulloa y Mercedes(PE-1-2013)(Mod. POA)</t>
  </si>
  <si>
    <t>Remodelación, restauración y mobiliario de cuatro áreas públicas en los distristos de Heredia, San Francisco , Ulloa y Mereceses</t>
  </si>
  <si>
    <t>Remodelación, restauración y mobiliario de siete áreas públicas en los distritos de Heredia, San Francisco, Ulloa y Mercedes, asignados mediante un proceso participativo, solicitudes individuales y del Concejo Municipal</t>
  </si>
  <si>
    <t>Adjudicación y Construcción para remodelación, restauración y mobiliario en áreas públicas. de 10 áreas públicas del Cantón Central de Heredia, asignados mediante un proceso participativo, solicitudes individuales y del Concejo Municipal</t>
  </si>
  <si>
    <t>LP 2.1.1. Al menos 3000 metros lineales del sistema de alcantarillado pluvial intervenido anualmente a partir de enero 2012.</t>
  </si>
  <si>
    <t>2.1.Programa de Infraestructura Pública</t>
  </si>
  <si>
    <t>Mejorar y dar mantenimiento a la infraestructura pública, considerando las necesidades de toda la población herediana.</t>
  </si>
  <si>
    <t>2.1.1. Construcción, mejoramiento y mantenimiento del alcantarillado pluvial y cordón y caño</t>
  </si>
  <si>
    <t>2.1.1.1.Realizar la construcción  de 3000  metros anuales de cordón y caño y alcantarillado pluvial.</t>
  </si>
  <si>
    <t>Porcentaje de Metros construidos o reparados</t>
  </si>
  <si>
    <t>Departamento Caminos y Calles</t>
  </si>
  <si>
    <t xml:space="preserve">AyA. ESPH. </t>
  </si>
  <si>
    <t>Prevenir inundaciones</t>
  </si>
  <si>
    <t xml:space="preserve">Construcción de 1000 metros de cordó y caño
Suministro de materiales y construcción de 2950 metros de cordón y cano en varios lugares del cantón central de Heredia. </t>
  </si>
  <si>
    <t xml:space="preserve">Sustitución de 500 metros de  tuberías pluvial.Suministro de Materiales y construcción de 5000 metros de cordón de caño en varios lugares del cantón de Heredia.(Mod. POA)(MP-4-2013)
Construcción de 1000  metros cordon de caño </t>
  </si>
  <si>
    <t>Sustitución de 500 metros de  tuberías pluvial.
Construcción de 1000  metros cordon de caño 
Construcción de 5000 metros de cordón de caño</t>
  </si>
  <si>
    <t>Construcción de. 1000  metros de cordón de caño.Sustitución de 500 metros de tuberías pluvial.
Construcción de 9020 metros de cordón de caño, en varios lugares del cantón de Heredia durante el año 2015.</t>
  </si>
  <si>
    <t>Construcción de 10925 metros de  cordón y caño en varios lugares del Cantón Central de Heredia.</t>
  </si>
  <si>
    <t>LP 2.1.2. a LP 2.1.10. ( Exc. 2.1.6.)  Al menos ocho proyectos adicionales se programan por año  con el fin de Mejorar y dar mantenimiento a la infraestructura pública, considerando las necesidades de toda la población herediana. A diciembre 2016</t>
  </si>
  <si>
    <t>2.1.2. Construcción y mantenimiento  de rampas</t>
  </si>
  <si>
    <t>2.1.2.1.Construcción de 200 rampas anuales  en zonas públicas</t>
  </si>
  <si>
    <t>Porcentaje de  Rampas construidas</t>
  </si>
  <si>
    <t>Mayor Accesibilidad</t>
  </si>
  <si>
    <t>Construccion de 310 rampas en el Canton Central de Heredia</t>
  </si>
  <si>
    <t>Consttrucción de 310 rampas</t>
  </si>
  <si>
    <t>Construcción de 1000 rampas en el Cantón Central de Heredia</t>
  </si>
  <si>
    <t xml:space="preserve">Construcción de 2500 rampas en el Cantón Central de Heredia </t>
  </si>
  <si>
    <t>Construcción de  2500 rampas para el Cantón de Heredia</t>
  </si>
  <si>
    <t>2.1.3. Construcción y mantenimiento de puentes</t>
  </si>
  <si>
    <t>2.1.3.1.Construcción de 2 Puentes  anuales en el Cantón Central de Heredia</t>
  </si>
  <si>
    <t>N° de Puentes Construidos</t>
  </si>
  <si>
    <t>Mejora el turismo, el comercio y el acceso a otras comunidades del cantón.</t>
  </si>
  <si>
    <t xml:space="preserve">Estudio diseño y construcción del puente de Santa Marta.
|Estudio diseño y construcción del puente Malibu 
</t>
  </si>
  <si>
    <t>El puente Santa Marta concluye 2013</t>
  </si>
  <si>
    <t>2)Estudios, diseño y construcción del puente entre Mercers Norte y Sur Hacia Colegio Montebello;3) Estudios, diseño y construcción de aproximación puente Los Arcos, margen izquierdaRealizar el proceso de contratación  para la Construcción del puente Cristo ReyRealizar el proceso de contratación para el "Estudios, diseño y construcción del Puente Calle López 2</t>
  </si>
  <si>
    <t>10% Puente Santa Marta.  100% Cuplimiento  Se concluyó puente Montebello y Los Arcos</t>
  </si>
  <si>
    <t>Diseño final y construcción del Puetne Calle Loéz 1</t>
  </si>
  <si>
    <t>Proceso de ejecución Puente Calle López 1 y 2 y Cristo Rey</t>
  </si>
  <si>
    <t xml:space="preserve">Estudios, diseño y construcción del Puente sobre Río Burío, Mercedes Norte de Heredia.Estudios, diseño y construcción del Puente sobre Río Arrayanes, La Legua de Vara Blanca.
</t>
  </si>
  <si>
    <t>100% ejecutadod puents 2015 y se concluyeron puentes calle Lopez 1 y 2  y concluyo Cristo Rey</t>
  </si>
  <si>
    <t>Estudios, diseño y construcción del Puente sobre Río San Fernando, La Legua de Vara Blanca.</t>
  </si>
  <si>
    <t>2.1.4. Construcción y mantenimiento de la red vial.</t>
  </si>
  <si>
    <t>2.1.4.1.Recarpeteo de 15 km anuales durante 2012 y 2013 y 13 km anuales a partir de 2014 de vías cantonales</t>
  </si>
  <si>
    <t>Porcentaje de Km recarpeteados</t>
  </si>
  <si>
    <t>Suministro, acarreo, colocación y acabado final de carpetas asfálticos en distintos lugares del Cantón  con el fin de cubrir 12 km.</t>
  </si>
  <si>
    <t>Se recarpetearon 13 km</t>
  </si>
  <si>
    <t>Suministro, acarreo, colocacion y acabado final de carpetas asfalticas en distintos lugares del cantón con el fin de cubrir 11,7 km; 3,3 km con la 8114</t>
  </si>
  <si>
    <t>Se cumplieron 2km pendientes 2013 según oficio DIP-GV-012-2013.  Lo programado 2013 se cumplió 100%</t>
  </si>
  <si>
    <t>Suministro, acarreo, colocacion y acabado final de carpetas asfalticas en distintos lugares del cantón con el fin de cubrir 8 km; 3,3 km con la 8114,86,66%</t>
  </si>
  <si>
    <t>Cumplimiento 86,66%</t>
  </si>
  <si>
    <t>Suministro, acarreo, colocacion y acabado final de carpetas asfalticas en distintos lugares del cantón con el fin de cubrir 13 km; 5,5 km con la 8114.</t>
  </si>
  <si>
    <t>Suministro, acarreo, colocación y acabado final de 11,8 km de  carpetas asfálticas en distintos lugares del Cantón a ejecutar con los recursos propios para el año 2016.uministro, acarreo, colocación y acabado final de 4,1 km de  carpetas asfálticas en distintos lugares del Cantón a ejecutar con los recursos Ley 8114  para el año 2016.</t>
  </si>
  <si>
    <t>2.1.4.2.Colocación de  2000 Toneladas anuales de mezcla asfáltica  de vías cantonales en proyectos de bacheo durante el año 2012 y 2013 y 1000 toneladas a partir 2014</t>
  </si>
  <si>
    <t>Porcentaje de Toneladas  colocadas para bacheo</t>
  </si>
  <si>
    <t>Colocación de 2000 toneladas de material asfáltico en el cantón central de Heredia.</t>
  </si>
  <si>
    <t>El  buen mantenimiento de la red vial y la época lluviosa poco intensa permitió que la cantidad de huecos fuera menor, por lo que las necesidades fueron cubiertas con la mezcla colocada. Pendiente 726 toneladas</t>
  </si>
  <si>
    <t xml:space="preserve">Colocar 2000 toneladas de material asfáltico en el cantón central de Heredia.     </t>
  </si>
  <si>
    <t>Según ofico DIP-GV-012-2013, las toneladas pendientes 2012 se colocarán en el II semestre, lo que da por cumplido lo pendiente 2012. Durante el año 2013 se colocó 1102 toneladas 55% cumplimiento</t>
  </si>
  <si>
    <t>Pendiente colocación 898 toneladas</t>
  </si>
  <si>
    <t>Colocar 1000 toneladas de material asfáltico en el cantón central de Heredia.</t>
  </si>
  <si>
    <t>Cumplimiento 100%, programado 2014 y se colocaron 792 toneladas 2013</t>
  </si>
  <si>
    <t>Pendiente 2013 106 toneladas</t>
  </si>
  <si>
    <t>Colocar 1000 toneladas de material asfáltico en el Cantón Central de Heredia.</t>
  </si>
  <si>
    <t>100% cumplimiento 2015 y se terminaro colocar 106 toneladas del 2013 y 162 del año 2014</t>
  </si>
  <si>
    <t>2.1.5. Mejorar las condiciones del Mercado Municipal</t>
  </si>
  <si>
    <t>2.1.5.1.Contratación de un estudio integral de la restauración del Mercado(arquitectura e infraestructura) que incluya todos los permisos respectivos.</t>
  </si>
  <si>
    <t>Estudio integral realizado</t>
  </si>
  <si>
    <t>Dirección de Operaciones, Administración del Mercado</t>
  </si>
  <si>
    <t>Patrimonio Histórico Nacional, Ministerio de Salud.</t>
  </si>
  <si>
    <t>Ampliación y ordenamiento</t>
  </si>
  <si>
    <t>Realizar las gestiones necesaria para la contratar la elaboracion  de un estudio integral de la restauración del Mercado(arquitectura e infraestructura) que incluya todos los permisos respectivos.</t>
  </si>
  <si>
    <t>2.1.5.2. Restauración del  del edificio del Mercado, según los resultados del estudio integral.</t>
  </si>
  <si>
    <t>restauración concluida</t>
  </si>
  <si>
    <t>Se tiene programado 2014</t>
  </si>
  <si>
    <t>Realizar las gestiones necesarias para la contratacion y ejecucion de techo nuevo en el costado norte del mercado.</t>
  </si>
  <si>
    <t>Cumplimiento 65%</t>
  </si>
  <si>
    <t>Los proyectos programados están proceso de ejecución.</t>
  </si>
  <si>
    <t xml:space="preserve">Construcción y  mejoras del techo del Mercado Municipal
</t>
  </si>
  <si>
    <t>90% de lo programdo 2015, el proyecto 2013 lleva avance 95%</t>
  </si>
  <si>
    <t>El proyecto se encuentra adjudicado, posee un avance de un 90% , toda la estructura de techo se encuentra pintada, ciertas áreas de la cubierta se encuentra cambiada las láminas esmaltadas, se ha producido atrasos por razones de lluvia y especialmente por los trameros que no han colaborado con el tema de la limpieza de la estructura de la cubierta y han solicitado que en este mes de diciembre no se trabaje en el proyecto ya que es el mes de mayor afluencia de persona y de ventas del mercado. El proyecto se concluye el 28 de Abril del 2016 para un pendiente del 10% de avance.</t>
  </si>
  <si>
    <t>Adjudicación y cambio de 1000 m2 del l Piso del Mercado Central de Heredia II Etapa y final.</t>
  </si>
  <si>
    <t>2.1.5.3.Realizar 2 labores de mejora y mantenimiento al mercado por año</t>
  </si>
  <si>
    <t>No. de obras realizadas</t>
  </si>
  <si>
    <t>Administrador del Mercado</t>
  </si>
  <si>
    <t>Patrimonio Histórico Nacional, Dpto. Ingeniería.</t>
  </si>
  <si>
    <t>Contar con un Mercado Accesible y Moderno.</t>
  </si>
  <si>
    <t>Contratar la mejora  del sistema de  iluminacion electrica del mercado</t>
  </si>
  <si>
    <t>Realizar las gestiones necesarias para la compra e instalacion de 100 metros de canoa interna</t>
  </si>
  <si>
    <t>Mejorar las condiciones fisicas del mercado mediantes dos obras de mejora</t>
  </si>
  <si>
    <t xml:space="preserve">Mejorar las condiciones fisicas del mercado mediante dos obras de mejora </t>
  </si>
  <si>
    <t>2.1.5.4. Realizar las gestiones para la instalación de un cajero automático.</t>
  </si>
  <si>
    <t>Porcentaje de gestión realizada</t>
  </si>
  <si>
    <t>Dir. Servicios, Alcaldía, Banca Privada</t>
  </si>
  <si>
    <t>Contar con nuevas alternativas de servicio.</t>
  </si>
  <si>
    <t>Realizar las gestiones para la instalación de un cajero automático.</t>
  </si>
  <si>
    <t>2.1.7. Mejorar las condiciones de infraestructura de los edificios e instalaciones municipales.</t>
  </si>
  <si>
    <t>2.1.7.1. Realizar mejoras a la infraestructura de los edificios e instalaciones municipales</t>
  </si>
  <si>
    <t>Porcentaje de mejoras realizadas</t>
  </si>
  <si>
    <t>Brindar condiciones adecuadas a los funcionarios municipales para el mejor desempeño de sus funciones</t>
  </si>
  <si>
    <t>Remodelacion de Oficina del Servicio de Recolección de basura y Taller Mecanico en el Plantel Municipal.
Elaboración y pintado del Mural denominado"Alegoría Herediana"</t>
  </si>
  <si>
    <t>Realizar 9 mantenimientos en los edificios municipales</t>
  </si>
  <si>
    <t>Realizar  al menos tres obras de mantenimiento periódicas a  las  instalaciones municipales durante el año 2014.</t>
  </si>
  <si>
    <t>Realizar  las gestiones necesarias para dar mantenimiento periódico a  las  instalaciones municipales durante el año 2015.</t>
  </si>
  <si>
    <t>2.1.8.  Construcción de Terminal de Buses</t>
  </si>
  <si>
    <t>2.1.8.1.Realizar estudio de factibilidad  para la construcción de la terminal de buses</t>
  </si>
  <si>
    <t>Estudio realizado</t>
  </si>
  <si>
    <t>Alcaldía, Dirección Jurídica</t>
  </si>
  <si>
    <t>MOPT. Comisión de transportes</t>
  </si>
  <si>
    <t>Ordenar el transporte público del cantón.</t>
  </si>
  <si>
    <t>Se presentó el contrato de fidecomiso y el desarrollo del proyecto, quedando pendiente la firma del contrato, los estudios de factibilidad se harían por el fidecomiso, lo cual se podrán hacer hasta que éste quede conformado.</t>
  </si>
  <si>
    <t>Según oficio DF-548-2013 los estudios se realizarían 2014</t>
  </si>
  <si>
    <t>Esta ejecución 2015</t>
  </si>
  <si>
    <t>2.1.8.2. Construcción de terminales de buses</t>
  </si>
  <si>
    <t>Porcentaje de terminales construidas</t>
  </si>
  <si>
    <t>Alcaldía, Dirección Operaciones, Dirección de Servicios y Gestión Ingresos.</t>
  </si>
  <si>
    <t>Se va a reprogramar</t>
  </si>
  <si>
    <t>2.1.9. Terreno para  el Cementerio de Mercedes</t>
  </si>
  <si>
    <t>2.1.9.1. Realizar estudio de Factibilidad y compra de terreno para cementerio de Mercedes</t>
  </si>
  <si>
    <t>Ofrecer mejores condiciones para prestar el servicio de cementerio</t>
  </si>
  <si>
    <t>Se va a eliminar</t>
  </si>
  <si>
    <t>2.1.10. Diagnóstico del estado de las aceras en todo el cantón central de Heredia e implementación de  las gestiones pertinentes para hacerlas accesibles para todas las personas .</t>
  </si>
  <si>
    <t>2.1.10.1.Realizar el diagnóstico del estado de las aceras en todo el cantón Central de Heredia.</t>
  </si>
  <si>
    <t>Comisión de Accesibilidad, Dirección Operaciones</t>
  </si>
  <si>
    <t>MOPT, UNIVERSIDADES</t>
  </si>
  <si>
    <t>Se determine el estado de las aceras: cuáles deben reconstruirse, cuáles deben construirse,  costo monetario si lo asume el propietario, costo monetario  para el propietario si lo asume la municipalidad.</t>
  </si>
  <si>
    <t>Contratación de un profesional para que realice un estudio diagnóstico del estado de aceras en el cantón central de Heredia</t>
  </si>
  <si>
    <t>2.1.10.2. Construcción de aceras en los sectores NE,NO,SE y SO del distrito central de Heredia, y los distritos de Mercedes, San Francisco, Ulloa y Vara Blanca.</t>
  </si>
  <si>
    <t>Porcentaje de aceras construidas</t>
  </si>
  <si>
    <t>Paso peatonal por todas las aceras del cantón de manera segura y accesible.</t>
  </si>
  <si>
    <t>Construcción de un corredor accesible entre centros de salud educacacion , mercado entre otros.</t>
  </si>
  <si>
    <t>Construcción de 4000 metros de aceras en áreas públicas de todo el cantón.
Construcción de un corredor accesible entre centros de salud educacacion , mercado entre otros II Etapa.</t>
  </si>
  <si>
    <t xml:space="preserve">Construcción de  8400 metros de aceras en áreas públicas de todo el cantón.
</t>
  </si>
  <si>
    <t>Construcción de 200 metros de aceras frente áreas municipales.Construcción de 5600 m2 de aceras frente a áreas públicas articulo 75 y 76 del Código Municipal
Construcción de 9020 metros de cordón de caño, en varios lugares del cantón de Heredia durante el año 2015.</t>
  </si>
  <si>
    <t>Adjudicación y Construcción de 8,280 mts cuadrados de aceras frente a áreas públicas articulo 75 y 76 del Código Municipal</t>
  </si>
  <si>
    <t>2.1.10.3.Realizar 600 notificaciones para construcción de aceras</t>
  </si>
  <si>
    <t>N° de Notificaciones por aceras realizadas</t>
  </si>
  <si>
    <t>Departamento de Ingeniería</t>
  </si>
  <si>
    <t>Mejora las condiciones de las aceras del cantón.</t>
  </si>
  <si>
    <t>Realizar  120 notificaciones para construcciones de aceras</t>
  </si>
  <si>
    <t>Realizar notificaciones para  la construccion de aceras.</t>
  </si>
  <si>
    <t>Realizar 200 notificaciones para  la construccion de aceras.</t>
  </si>
  <si>
    <t>Cuplimiento 100%</t>
  </si>
  <si>
    <t>Realizar 1000 Notificaciones por la omision de deberes de los propietarios conforme el reglamento al articulo 75 y 76 del Codigo Municipal (construccion y reparacion de aceras, cercado, limpieza de vegetacion lotes incultos, entre otros)</t>
  </si>
  <si>
    <t>Realizar 1000 actividades por la omision de deberes de los propietarios conforme el reglamento al articulo 75 y 76 del Codigo Municipal (construccion y reparacion de aceras, cercado, limpieza de vegetacion lotes incultos, entre otros)</t>
  </si>
  <si>
    <t>LP 2.2.1. a LP 2.2.2.  Al menos dos proyectos  se programan por año para propiciar espacios de esparcimiento y recreación para el disfrute de toda la comunidad herediana.</t>
  </si>
  <si>
    <t>2.2. Programa de Parques y Áreas de Recreación</t>
  </si>
  <si>
    <t>Propiciar espacios de esparcimiento y recreación para el disfrute de toda la comunidad herediana.</t>
  </si>
  <si>
    <t>2.2.1. Creación y mejoramiento de  espacios deportivos y recreativos accesibles</t>
  </si>
  <si>
    <t>2.2.1.1.Colaborar con el Comité Cantonal de Deportes la construcción y mejoramiento de áreas deportivas y recreativas</t>
  </si>
  <si>
    <t>Porcentaje de actividad realizada</t>
  </si>
  <si>
    <t>ADI</t>
  </si>
  <si>
    <t>Lugares para la recreación y el deporte</t>
  </si>
  <si>
    <t>2.2.1.2. Construcción de al menos 2 mini-gimnasios por año en áreas públicas.</t>
  </si>
  <si>
    <t>Instalacion de 5 Mini-Gimansios en varias areas publicas del Canton Central de Heredia.</t>
  </si>
  <si>
    <t>Instalación en 5 parques de mini-gimnasios, instalación de ocho minigimnasios</t>
  </si>
  <si>
    <t>Instalación de 10 parques de Mini-Gimnasios</t>
  </si>
  <si>
    <t>Instalación de 15 gimnasios al aire libre en diferentes áreas públicas del Cantón, asignados mediante un proceso participativo, solicitudes individuales y del Concejo Municipal</t>
  </si>
  <si>
    <t>Instalación de 25 gimnasios al aire libre en las áreas públicas del Cantón Central de Heredia, asignados mediante un proceso participativo, solicitudes individuales y del Concejo Municipal</t>
  </si>
  <si>
    <t>2.2.2.  Creación zonas para ciclistas y patinadores.</t>
  </si>
  <si>
    <t>2.2.2.1.Realizar estudio para identificar las zonas y espacios disponibles para ciclo vía</t>
  </si>
  <si>
    <t>Espacios de recreación para estos grupos.</t>
  </si>
  <si>
    <t>Contratación de un profesional que realice estudio de factibiliad del proyecto de ciclo vías para el cantón central de Heredia</t>
  </si>
  <si>
    <t>2.2.2.2.Construcciòn  de áreas para patinadores</t>
  </si>
  <si>
    <t>Construcción realizada</t>
  </si>
  <si>
    <t>Suministro e instalación de Plataformas para Skate Park en Urb. Monte Bello.(PE1-2013)</t>
  </si>
  <si>
    <t>Este proyecto no se pudo concluir a diciembre 2013 debido a que para poder retirar las plataformas por parte de la empresa contratada, la Municipalidad tuvo que hacer un trámite interno que estaba pendiente  ante el Ministerio de Hacienda, lo que retrasó el trámite de la exoneración.</t>
  </si>
  <si>
    <t>Según oficio DIP-0188-2014 está ejecutado 100%</t>
  </si>
  <si>
    <t>LP  2.1.6. Un Plan Quinquenal de Red Vial Cantonal, formulado y aprobado a diciembre 2012 y en implementación a partir de enero 2013.</t>
  </si>
  <si>
    <t>2.1.6. Plan quinquenal de gestión vial</t>
  </si>
  <si>
    <t>2.1.6.1.Formular el Plan Quinquenal de Gestión Vial del Cantón de Heredia</t>
  </si>
  <si>
    <t>Junta Vial Cantonal y UTGV</t>
  </si>
  <si>
    <t>Contar con un plan que oriente los proyectos de mantenimiento de la red vial.</t>
  </si>
  <si>
    <t>Formular Plan Quinquenal(Luis)</t>
  </si>
  <si>
    <t>n/a</t>
  </si>
  <si>
    <t>Según correo electrónico de la Directora de Inversión Pública se realizaron varias colaboraciones para la realización mejoras Cancha futbol de Fátima</t>
  </si>
  <si>
    <t>SE INCLUYO POA 2016</t>
  </si>
  <si>
    <t>AREA ESTRATEGICA: DESARROLLO Y GESTION INSTITUCIONAL</t>
  </si>
  <si>
    <t>GRADO DE CUMPLIMIENTO A DICIEMBRE 2012</t>
  </si>
  <si>
    <t>Lograr el fortalecimiento institucional de la Municipalidad de Heredia que le permita asumir el liderazgo en el desarrollo del Cantón de Heredia</t>
  </si>
  <si>
    <t xml:space="preserve">LP 3.1 a LP 3.24. Promover el desarrollo organizacional y la profesionalización del personal
</t>
  </si>
  <si>
    <t>LP 3.1.1. a LP 3.24.1. Realizar al menos 24 acciiones estratégicas que promuevan el desarrollo organizacional y la profesionalización del personal</t>
  </si>
  <si>
    <t>Direcciones y Jefaturas</t>
  </si>
  <si>
    <t>DESARROLLO Y GESTION INSTITUCIONAL</t>
  </si>
  <si>
    <t>3.1.Asesorar y Dirigir de forma oportuna las diferentes dependencias municipales en la toma de decisiones.</t>
  </si>
  <si>
    <t>Administrar de forma digital  los expedientes de la Dirección Jurídica, con el objetivo de tener la información de los expedientes digitalizados de manera que agilice más los procesos judiciales y administrativos.</t>
  </si>
  <si>
    <t>3.1.1.Digiltalización de los expedientes de la Dirección Jurídica.</t>
  </si>
  <si>
    <t>3.1.1.1.Implementación del Proyecto de digitalización de expedientes de la Dirección Jurídica</t>
  </si>
  <si>
    <t>Proyecto implementado</t>
  </si>
  <si>
    <t>Isabel Sáenz Soto Dirección Jurídica</t>
  </si>
  <si>
    <t>Contar con información digitalizada con el fin de facilitar los procesos judiciales y Administrativos.</t>
  </si>
  <si>
    <t xml:space="preserve">6. Digitarlizar los expedientes de esta Dirección  para brindar  mayor transparencia y accesibildad a la información  de esta unidad. </t>
  </si>
  <si>
    <t>Esta meta no se pudo ejecutar en su totalidad debido a que el proceso de contratación se tuvo que realizar en dos ocasiones debido a que en el primero no hubo oferentes , ya se adjudicó a la empresa ADD Archivo Digital de Documntos, la orden de inicio se dará para inicio 2014.</t>
  </si>
  <si>
    <t>3. Implementación del programa de digitalización de documentos.</t>
  </si>
  <si>
    <t>Cumplimiento 60% de lo pendiente 2013</t>
  </si>
  <si>
    <t>3.2.Desarrollo Sistemático del Proceso de Autoevaluación totalmente integrado a la Planificación Institucional</t>
  </si>
  <si>
    <t>Desarrollar el proceso de Autoevaluación del SCI de forma sistemática, estratégicamente programado para el debido cumplimiento de la normativa de control Interno y mejoramiento continuo de la gestión y planificación institucional.</t>
  </si>
  <si>
    <t>3.2.1.Herramientas digitales para el desarrollo sistemático de las Autoevaluaciones Anuales del Sistema de Control Interno.</t>
  </si>
  <si>
    <t>3.2.1.1.Formular las herramientas para el desarrollo anual del Proceso de Autoevaluación del Sistema de Control Interno</t>
  </si>
  <si>
    <t>Porcentaje de herramienta de Autoevaluación anual formuladas.</t>
  </si>
  <si>
    <t>Licda. Rosibel Rojas Coordinadora de Control Interno</t>
  </si>
  <si>
    <t>Comité Institucional de Control Interno</t>
  </si>
  <si>
    <t>Desarrollo sistemático del Proceso de ASCI en la Municipalidad de Heredia.</t>
  </si>
  <si>
    <t>Formular las herramientas para el desarrollo anual del Proceso de Autoevalación del Sistema de Control Interno</t>
  </si>
  <si>
    <t>Cumplida 100%</t>
  </si>
  <si>
    <t>3.2.2.Aplicación del Modelo de Madurez a nivel Gerencial (Titular de Alcaldía, Planificación y Directores)</t>
  </si>
  <si>
    <t>3.2.2.1.Aplicar y analizar  el Modelo de Madurez a nivel Gerencial (Titulares de Alcaldía, Planificación y Direcciones)</t>
  </si>
  <si>
    <t>Porcentaje de análisis y aplicación realizada</t>
  </si>
  <si>
    <t>Titulares de Alcaldía, Planificación y Direcciones</t>
  </si>
  <si>
    <t>Análisis Gerencial del Funcionamiento del sistema de Control Interno.</t>
  </si>
  <si>
    <t>Aplicar y analizar el Modelo de Madurez a nivel Gerencial (Titular de Alcaldía, Planificación y Directores)</t>
  </si>
  <si>
    <t>Coordinar con los /as Titulares la presentación de Informes de Seguimiento Semestral de los resultados del  Modelo de Madurez</t>
  </si>
  <si>
    <t>Aplicar el Modelo de Madurez a nivel Gerencial (Titular de Alcaldía, Planificación y Directores) y emitir informe de resultados 2014</t>
  </si>
  <si>
    <t>Aplicar el Modelo de Madurez a nivel Gerencial (Titular de Alcaldía, Planificación y Directores) y emitir informe de resultados 2016</t>
  </si>
  <si>
    <t>3.3.Desarrollo Sistemático del Proceso de Valoración de Riesgos totalmente integrado a la Planificación Institucional</t>
  </si>
  <si>
    <t>Desarrollar la Valoración de Riesgos Institucional de forma sistemática, estratégicamente programado para el debido cumplimiento de la normativa de control Interno y mejoramiento continuo de la gestión y planificación institucional.</t>
  </si>
  <si>
    <t>3.3.1.Herramientas digitales para el desarrollo sistemático de la Valoración de Riesgos Institucional</t>
  </si>
  <si>
    <t>3.3.1.1.Formular y/o mejorar las herramientas para el desarrollo anual del Proceso de Valoración de Riesgos Institucional</t>
  </si>
  <si>
    <t>Porcentaje de herramienta de Valoración de Riesgos anual formuladas.</t>
  </si>
  <si>
    <t>Desarrollo sistemático del Proceso de Valoración de Riesgos en la Municipalidad de Heredia.</t>
  </si>
  <si>
    <t>Formular y/o mejorar las herramientas para el desarrollo anual del Proceso de Valoración de Riesgos Institucional</t>
  </si>
  <si>
    <t>3.3.2.Analisis gerencial del Funcionamiento del Sistema Específico de Valoración de Riesgos Institucional</t>
  </si>
  <si>
    <t>3.3.2.1.Analizar  los avances en el funcionamiento del Sistema nivel Gerencial (Titulares de Alcaldía, Planificación y Direcciones)</t>
  </si>
  <si>
    <t>Porcentaje de análisis realizado sobre avances del funcionamiento del SEVRI</t>
  </si>
  <si>
    <t>Titulares de Alcaldía, Planificación y Direcciones.</t>
  </si>
  <si>
    <t>Funcionamiento Sistemático del SEVRI de la Municipalidad de Heredia.</t>
  </si>
  <si>
    <t>Analizar  los avances en el funcionamiento del Sistema del SEVRI a  nivel Gerencial (Titulares de Alcaldía, Planificación y Direcciones)</t>
  </si>
  <si>
    <t>Pendiente revisión del informe  del estudio conclurá enero</t>
  </si>
  <si>
    <t>5%  cumplido CI-012-2013</t>
  </si>
  <si>
    <t>Analizar  los avances en el funcionamiento del Sistemade Valoración de Riesgos a nivel Gerencial (Titulares de Alcaldía, Planificación y Direcciones)</t>
  </si>
  <si>
    <t>3.4.Sugerencias a la Administración para el fortalecimiento del Sistema de Control Interno Institucional y su integración a la Gestión Institucional</t>
  </si>
  <si>
    <t>Promover en la Municipalidad la incorporación del Sistema de Control Interno como parte integral de la Gestión Institucional con el fin de llevar a la Municipalidad de Heredia a un nivel óptimo de Madurez en Control Interno.</t>
  </si>
  <si>
    <t>3.4.1.Estudio de la estructura  de Control Interno para brindar el servicio que la Institución demanda en materia de control Interno.</t>
  </si>
  <si>
    <t>3.4.1.1.Presentar el estudio a la Administración para el fortalecimiento de la estructura de  Control Interno según lo requerido por la institución.</t>
  </si>
  <si>
    <t>Estudio presentado</t>
  </si>
  <si>
    <t>Nueva estructura de la UCI</t>
  </si>
  <si>
    <t>Presentar un estudio a la administración para el fortalecimiento de la estructura de Control Interno según lo requerido por la institución</t>
  </si>
  <si>
    <t>3.4.2.Asesoría formal y acompañamiento continuo en materia de Control Interno</t>
  </si>
  <si>
    <t>3.4.2.1..Analizar,  implementa y evaluación del proceso de asesoría y mejorarlo para la atención efectiva y oportuna según lo requerido por la institución.</t>
  </si>
  <si>
    <t>Proceso Asesoría actualizado</t>
  </si>
  <si>
    <t>Analizar el proceso de Asesoría de Control Interno y determinar las mejoras a implementar al proceso.</t>
  </si>
  <si>
    <t>3.4.2.2.Valoración de las prioridades institucionales para el funcionamiento del Sistema de Control Interno.</t>
  </si>
  <si>
    <t>Valoración realizada y presentada.</t>
  </si>
  <si>
    <t>Valorar, implementar y proponer a la administración acciones  para el funcionamiento del Sistema de Control Interno Institucional</t>
  </si>
  <si>
    <t xml:space="preserve">Brindar asesorías, acompañamiento  y propuestas generales a la administracion para la valoración de las prioridades institucionales para el funcionamiento del Sistema de Control Interno, </t>
  </si>
  <si>
    <t xml:space="preserve">Presentar propuestas generales a la administración para la valoración de las prioridades institucionales para el funcionamiento del Sistema de Control Interno, </t>
  </si>
  <si>
    <t>3.4.3.Propuesta para la adquisición de un sistema informático para la administración de la información de Control Interno.</t>
  </si>
  <si>
    <t>3.4.3.1.Presentar la propuesta para valorar la viabilidad de adquirir un sistema informático para la administración de la información de Control Interno</t>
  </si>
  <si>
    <t>Dirección Financiera Administrativa y Alcaldía.</t>
  </si>
  <si>
    <t>Contratar los servicios para el análisis, diseño y contrucción de un sistema informático para la administración de la información de Control Interno institucional</t>
  </si>
  <si>
    <t>42,5% (equivale al 85% del 50% programado)</t>
  </si>
  <si>
    <t>Se adquirió sistema para realizar la Autoevaluación de control interno está en proceso de implementación</t>
  </si>
  <si>
    <t>Contratar los servicios para el diseño y contrucción de un sistema informático para la administración de la información de Valoración de Riesgos Institucional</t>
  </si>
  <si>
    <t>2% cumplido según oficio CI-012-2013</t>
  </si>
  <si>
    <t>Se realizó la contratación para desarrollo Programa Valoración Riesgo está proceso.</t>
  </si>
  <si>
    <t>Se incluyó 2013</t>
  </si>
  <si>
    <t>3.5.Alcance de la Capacitación en materia de Control Interno para su integración a la Gestión Institucional</t>
  </si>
  <si>
    <t>3.5.1.Programa de Capacitación Continua en materia de Control Interno</t>
  </si>
  <si>
    <t>3.5.1.1.Plan de Capacitaciones programado</t>
  </si>
  <si>
    <t>Plan de Capacitaciones</t>
  </si>
  <si>
    <t>Personal Municipal capacitado para el debido funcionamiento del SCI y SEVRI</t>
  </si>
  <si>
    <t>Coordinar y/o brindar 6 capacitaciones (al personal Municipal, Representantes de ADI y del  Comité Cantonal de Deportes en materia de Control Interno. Conforme con el Plan de Capacitación Anual programado</t>
  </si>
  <si>
    <t>Coordinar y/o brindar 6 capacitaciones (al personal Municipal,  Conforme con el Plan de Capacitación Anual programado</t>
  </si>
  <si>
    <t>Desarrollar las capacitaciones y actividades de divulgacóon programadas en el Plan de Capacitación Anual.</t>
  </si>
  <si>
    <t xml:space="preserve">Brindar mantenimiento del Sistema SACI así como nuevos requerimientos, actualización continua de los módulos de Autoevaluación y SEVRI. </t>
  </si>
  <si>
    <t>3.6.Fortalecimineto de las Unidades administrativas municipales.</t>
  </si>
  <si>
    <t>Mejorar el aprovechamiento de las unidades administrativas  en lo referente a recurso humano.</t>
  </si>
  <si>
    <t xml:space="preserve">3.6.1.Estudio de tiempos y movimientos </t>
  </si>
  <si>
    <t xml:space="preserve">3.6.1.1.Realizar el estudio de tiempos y movimientos. </t>
  </si>
  <si>
    <t>Porcentaje de avance del proyecto.</t>
  </si>
  <si>
    <t>25%</t>
  </si>
  <si>
    <t xml:space="preserve">Recursos Humanos </t>
  </si>
  <si>
    <t xml:space="preserve">Alcaldía, Proveeduría, Presupuesto, Comunicación Direcciones, </t>
  </si>
  <si>
    <t>Mejor distribución de los funcionarios</t>
  </si>
  <si>
    <t>RH programa IV T.</t>
  </si>
  <si>
    <t>Se reprograma esta meta para el III trimestre del año 2014, debido a que no se contaba con contenido presupuestario para ejecutarla,</t>
  </si>
  <si>
    <t xml:space="preserve">Realizar el estudio de tiempos y movimientos del 50% de los departamento de la institución. </t>
  </si>
  <si>
    <t>Cumplimiento 25% de lo pendiente 2013</t>
  </si>
  <si>
    <t>100%, se conlcuyó el proyecto</t>
  </si>
  <si>
    <t>Esta meta se va a conlcuir 2015</t>
  </si>
  <si>
    <t xml:space="preserve">3.7.Seguridad Laboral </t>
  </si>
  <si>
    <t>Crear una cultura laboral dirigida hacia la prevención y promoción de la Salud ocupacional</t>
  </si>
  <si>
    <t>3.7.1.Reglamento y Manuales  en Salud Ocupacional</t>
  </si>
  <si>
    <t>3.7.1.1.Políticas en Salud Ocupacional</t>
  </si>
  <si>
    <t>Politicas aprobadas y divulgadas.</t>
  </si>
  <si>
    <t>100%</t>
  </si>
  <si>
    <t>Alcaldía, Comunicación y prensa. 
INS</t>
  </si>
  <si>
    <t>Policitcas aprobadas y divulgadas.</t>
  </si>
  <si>
    <t>Politica Salud Ocupacional</t>
  </si>
  <si>
    <t>3.7.1.2.Manuales de Procedimientos establecidos En Salud Ocupacional a nivel Institucional</t>
  </si>
  <si>
    <t>Manual Aprobado y publicado.</t>
  </si>
  <si>
    <t xml:space="preserve">Alcaldía, Dirección Administrativa Financiera, Concejo Municipal, Comunicación y prensa. 
</t>
  </si>
  <si>
    <t xml:space="preserve">Esta meta está en proceso de ejcutción bajo la responsabilidad directa de la encargada de Salud Ocupacional, </t>
  </si>
  <si>
    <t>Cumplimiento pendiente 2013</t>
  </si>
  <si>
    <t xml:space="preserve">3.7.1.3.Reglamento Institucional de  Salud Ocupacional </t>
  </si>
  <si>
    <t>Reglamento aprobado y publicado.</t>
  </si>
  <si>
    <t xml:space="preserve">Alcaldía, Dirección Administrativa Financiera, Dirección Jurídica, Concejo Municipal, Comunicación y prensa. 
</t>
  </si>
  <si>
    <t xml:space="preserve">Reglamento Institucional de  Salud Ocupacional </t>
  </si>
  <si>
    <t>Cumplimiento 90%</t>
  </si>
  <si>
    <t>Queda pendiente la publicación</t>
  </si>
  <si>
    <t xml:space="preserve">3.8.Desarrollo Humano </t>
  </si>
  <si>
    <t xml:space="preserve"> Promover una cultura de desarrollo humano municipal y personal  idóneo (actualizado).</t>
  </si>
  <si>
    <t>3.8.1.Plan de capacitación anual para todos los funcionarios municipales.</t>
  </si>
  <si>
    <t>3.8.1.1.Proyecto de capacitación.</t>
  </si>
  <si>
    <t>Proyecto aprobado.</t>
  </si>
  <si>
    <t xml:space="preserve">Alcaldía,  Servicio Civil Comunicación y prensa. 
</t>
  </si>
  <si>
    <t>Plan de Capacitacion</t>
  </si>
  <si>
    <t xml:space="preserve"> 3.8.1.2.Implementación del Plan de capacitación </t>
  </si>
  <si>
    <t>Plan Implementado</t>
  </si>
  <si>
    <t>Alcaldía, Dirección Financiera Administrativa. Concejo Municipal, Comunicación  y Prensa</t>
  </si>
  <si>
    <t>Plan Aprobado.</t>
  </si>
  <si>
    <t>RH programa II T.</t>
  </si>
  <si>
    <t>Por el proces de reestructuración  aplicado durante el año 2013,  se consideró recomendable revisar nuevamente el Plan de capacitación  y variar las nomenclaturas y responsabiliaddes lo que atrasó la implementación , actualmente ya se encuentra corregido y aprobado por el Alcalde Municipal  y se está con la coordinación de la presentación y aplicación.</t>
  </si>
  <si>
    <t xml:space="preserve">3.8.1.3.Reglamento de Capacitación Municipal </t>
  </si>
  <si>
    <t>Reglamento de capacitación</t>
  </si>
  <si>
    <t>Porceso revisión Dirección Juríca para enviar Concejo Municipal</t>
  </si>
  <si>
    <t>3.9.Servicios Digitales</t>
  </si>
  <si>
    <t>Ofrecer  todo tipo de servicios y aplicaciones en línea para la Ciudad de Heredia mediante el desarrollo e implementación de una plataforma tecnológica de Gobierno Digital Inteligente.</t>
  </si>
  <si>
    <t>3.9.1.Implementación de la Red de Servicios Digitales</t>
  </si>
  <si>
    <t xml:space="preserve">3.9.1.1.Análisis y Diseño de la Arquitectura de Informática </t>
  </si>
  <si>
    <t>Análisis y diseño realizado</t>
  </si>
  <si>
    <t>Depto. Cómputo</t>
  </si>
  <si>
    <t>Diseño que garantice la puesta en marcha de los servicios digitales de esta municipalidad con una arquitectura moderna e independiente de fabricantes o marcas de hardware; que permita fijar las bases para el desarrollo e implementación futura de una plataforma tecnológica de Gobierno Digital Inteligente, ofreciendo todo tipo de servicios y aplicaciones en línea para la Ciudad de Heredia.</t>
  </si>
  <si>
    <t>Análisis y Diseño de la Arquitectura Informática mediante el fortalecimiento de las capacidades de las Tecnologías de Información y Comunicación mediante el convenio MuNet-Gobierno Digital.</t>
  </si>
  <si>
    <t>3.9.1.2.Implementación de la arquitectura de informática</t>
  </si>
  <si>
    <t>Porcentaje de implementación realizada</t>
  </si>
  <si>
    <t>Ofrecer servicios digitales con el fin permitir a la ciudadanía un mejor acceso a trámites municipales e información relevante.</t>
  </si>
  <si>
    <t>Implementación de la arquitectura de informática</t>
  </si>
  <si>
    <t>Implementación del 25% del proyecto de la arquitectura de informática</t>
  </si>
  <si>
    <t>100% cumplimiento</t>
  </si>
  <si>
    <t>Implementación la segunta etapa y cumplimiento del Plan Estratégico del Gobierno Digital de la Municipalidad de Heredia, desarrollando planes de acción que permitan lograr un mejoramiento continuo de las áreas de Infraestructura, Seguridad y Telecomunicaciones con el fin de posicionar a Heredia como Ciudad Digital al concluir el periodo de la ejecución del Plan Estratégico de TI.</t>
  </si>
  <si>
    <t xml:space="preserve">Implementar un 25% del Plan Estratégico de Gobierno Digital de la Municipalidad de Heredia, con base en el proyecto de Heredia Digital. </t>
  </si>
  <si>
    <t>3.10.Trámite de quejas, denuncias de los contribuyentes</t>
  </si>
  <si>
    <t>Mejorar la imagen de la Municipalidad ante la ciudadanía herediana.</t>
  </si>
  <si>
    <t>3.10.1.Plan de mejoramiento de los servicios que brinda la Municipalidad.</t>
  </si>
  <si>
    <t>3.10.1.1.Realizar diagnóstico para conocer la percepción de los ciudadanos con respecto a los servicios brindados por la Municipalidad.</t>
  </si>
  <si>
    <t>Diagnóstico realizado</t>
  </si>
  <si>
    <t>Contraloría de Servicios</t>
  </si>
  <si>
    <t>Ministerio de Salud, Organizaciones comunales, Fuerza Pública, Dirección de Tránsito.</t>
  </si>
  <si>
    <t>Disminuir las quejas y denuncias con relación a los servicios municipales.</t>
  </si>
  <si>
    <t>Aplicar al público encuenta anual para medir la satisfacción de los servicios y trámites realizados           -Realizar diagnóstico para conocer la percepión de los ciudadanos con respecto a los servicios brindados por la Municipalidad.</t>
  </si>
  <si>
    <t>Realizar diagnóstico para conocer la percepción de los ciudadanos con respecto a los servicios brindados por la Municipalidad.</t>
  </si>
  <si>
    <t>3.10.1.2.Implementar acciones para mejorar los servicios municipales de acuerdo a los resultados del diagnóstico.</t>
  </si>
  <si>
    <t>Acciones implementadas.</t>
  </si>
  <si>
    <t>De acuerdo al oficio CS-0013-2014, se realizaron una serie de acciones  con el fin de mejorar los serivicos municipalies.</t>
  </si>
  <si>
    <t>Implementar cuatro  acciones para mejorar los servicios municipales de acuerdo a los resultados del diagnóstico.</t>
  </si>
  <si>
    <t>3.11.Imagen Interna y Externa de la Municipalidad</t>
  </si>
  <si>
    <t xml:space="preserve">Promover el cambio a nivel institucional y laboral mediante el mejoramiento de la imagen interna y externa. </t>
  </si>
  <si>
    <t xml:space="preserve">3.11.1.Plan Anual de Medios de comunicación masiva </t>
  </si>
  <si>
    <t>3.11.1.1.Implementar acciones para incrementar  la presencia en los medios de comunicación a través de pauta directa y publicity</t>
  </si>
  <si>
    <t>Porcentaje de acciones realizadas</t>
  </si>
  <si>
    <t xml:space="preserve">Marjorie Chacón / Rodny Rojas </t>
  </si>
  <si>
    <t>Alcaldía</t>
  </si>
  <si>
    <t>Cambiar la imagen de la Municipalidad ante los usuarios Internos y Externos.</t>
  </si>
  <si>
    <t>Implementar acciones para incrementar la presencia en los medios de comunicación, a traves de la contratacion de 1 Medio Radiofónico de cobertura nacional y 2 de cobertura local. Diseñar 3 boletines (1 por trimestre) sobre la gestión realizada durante el período y su respectiva impresión de 1500 ejemplares por Trimestre.</t>
  </si>
  <si>
    <t>Implementación del Plan de Medios de Comunicación Masiva, para incrementar  la presencia en los medios de comunicación a través de pauta directa y publicity, mediante la contratación de  1 Medio Radiofónico de cobertura nacional y 2 de cobertura local.</t>
  </si>
  <si>
    <t>Implementar acciones para incrementar  la presencia en los medios de comunicación a través de pauta directa y publicity.</t>
  </si>
  <si>
    <t xml:space="preserve">Diseñar e implementar tres campañas anuales enfocadas en la divulgación de los servicios, logros, avances y proyectos municipales en ejecución y la perecepción sobre la calidad y efectividad de estos servicios.  </t>
  </si>
  <si>
    <t xml:space="preserve">Consolidar espacios de comunicación horizontal con la ciudadanía y propiciar espacios democráticos. </t>
  </si>
  <si>
    <t xml:space="preserve">3.11.2.Plan de medios en redes sociales que propicie espacios de opinión, consulta y creación de información </t>
  </si>
  <si>
    <t>3.11.2.1.Implemenar el Plan de Medios sociales</t>
  </si>
  <si>
    <t>Implementar el Plan de Medios en Redes Sociales que propicien espacios de opinión, consulta y creación de información.</t>
  </si>
  <si>
    <t xml:space="preserve">Implementación del Plan de Medios Sociales que propicie espacios de opinión, consulta y creación de información, a fin de mejorar la imagen que  la institución proyecta con la ciudadanía. </t>
  </si>
  <si>
    <t>Implemenar el Plan de Medios sociales</t>
  </si>
  <si>
    <t xml:space="preserve">Implementación de Plan de Medios en redes sociales. </t>
  </si>
  <si>
    <t xml:space="preserve">Contribuir a la promoción de la cultura Herediana </t>
  </si>
  <si>
    <t>3.11.3.Coordinar con al Comisión de  Cultura y Unidad Administrativa a cargo para divulgar y promover la cultura Herediana.</t>
  </si>
  <si>
    <t>3.11.3.1.Producir documental y/o folletos con información cultural según las actividades que se desarrollen cada año.</t>
  </si>
  <si>
    <t>Porcentaje de documentos o folletos producidos</t>
  </si>
  <si>
    <t>Alcaldía,  Archivo Central, Direcciones</t>
  </si>
  <si>
    <t>Producir  folletos con información cultural según las actividades que se desarrollen cada año, según lo solicitado por el (la) responsable del Área de Cultura</t>
  </si>
  <si>
    <t>Producir material informativo con información cultural del cantón, en coordinación con la Comisión de Cultura quien está a cargo de divulgar y promover la cultura Herediana.</t>
  </si>
  <si>
    <t>Producir 1 documento informativo semestral con información cultural del cantón, en coordinación con la Comisión de Cultura quien está a cargo de divulgar y promover la cultura Herediana.</t>
  </si>
  <si>
    <t>Producir folletos con información cultural según las actividades y necesidades de la Administración.</t>
  </si>
  <si>
    <t xml:space="preserve">Producir material informativo impreso y/o audiovisual con información cultural del Cantón. </t>
  </si>
  <si>
    <t>3.12.Comunicación y Divulgación a nivel  Interno y Externo</t>
  </si>
  <si>
    <t>Mejorar la imagen que tienen los funcionarios municipales con respecto a los servicios que presta la Municipalidad.</t>
  </si>
  <si>
    <t>3.12.1.Plan de Mejoramiento de la Comunicación y Divulgación  Interna  de la Municipalidad</t>
  </si>
  <si>
    <t>3.12.1.1.Implementar acciones  a nivel interno para mejorar la comunicación y divulgación de resultados obtenidos .</t>
  </si>
  <si>
    <t>Alcaldía Recursos Humanos</t>
  </si>
  <si>
    <t xml:space="preserve">Distribuir entre los funcionarios material impreso con temas propios de comunicación interna.              -Organizar 1 capacitacion por trimestre dirigida a las jefaturas con el objetivo de desarrollar la conciencia sobre una buena Comunicación Acertiva en la Institución          -Diseñar y distribuir 1 boletin electrónico mensual con los pormenores de la institucion, y otras informaciones externas que puedan ser del interés de los y las funcionarias   -Realizar 1 diagnostico sobre situación de sistemas de comunicación  interna                -Generar propuesta escrita de implementación de acciones internas de comunicación como resultado del Diagnóstico    -Realizar 1 diagnostico sobre situación de sistemas de comunicación externa </t>
  </si>
  <si>
    <t>solamente se distribuyó 3 boletines y estaban programados 12</t>
  </si>
  <si>
    <t>Implementar acciones  a nivel interno para mejorar la comunicación y divulgación de resultados obtenidos, mediante la aplicación de acciones resultantes del Diagnostico de Comunicación Interna.</t>
  </si>
  <si>
    <t>Implementar acciones a nivel interno para mejorar la comunicación  y fomentar conciencia e identidad organizacional.</t>
  </si>
  <si>
    <t xml:space="preserve">Incorporar y fortalecer la participación de los colaboradores de la municipalidad en el proceso de comunicación, mediante la implementación de dos campañas de comunicación anuales. </t>
  </si>
  <si>
    <t xml:space="preserve">Desarrollar  un medio de divulgación para comunicar a la ciudadanía herediana de las acciones y resultados obtenidos. </t>
  </si>
  <si>
    <t>3.12.2.Medio de comunicación escrito propio.</t>
  </si>
  <si>
    <t xml:space="preserve">3.12.2.1.Creación de  un medio de comunicación escrito </t>
  </si>
  <si>
    <t>Medio creado</t>
  </si>
  <si>
    <t xml:space="preserve">Alcaldía Direcciones </t>
  </si>
  <si>
    <t>Esta meta no se pudo ejecutar debido a que no se contaba con el contenido presupuestario necesario para su realización</t>
  </si>
  <si>
    <t>3.13.Declaraciones de Bienes Inmuebles</t>
  </si>
  <si>
    <t>Contar con un registro digital de todas las declaraciones de Bienes Inmuebles presentadas por los contribuyentes.</t>
  </si>
  <si>
    <t>3.13.1.Digitalización de las Declaraciones de Bienes Inmuebles.</t>
  </si>
  <si>
    <t>3.13.1.1. Realizar la digitalización del 100% de las declaraciones de Bienes Inmuebles que se presenten en el año.</t>
  </si>
  <si>
    <t>Porcentaje de digitalización realizada.</t>
  </si>
  <si>
    <t>Marco A. Ruiz, Jefe de Catastro</t>
  </si>
  <si>
    <t>Empresa GSI</t>
  </si>
  <si>
    <t>Contar con información digitalizada para ofrecer un mejor servicios</t>
  </si>
  <si>
    <t>Realizar la digitalización del 100% de las declaraciones de Bienes Inmuebles que se presenten en el año 2012.</t>
  </si>
  <si>
    <t>Realizar la digitalización de 10000  declaraciones de Bienes Inmuebles que se presenten en el año 2012.</t>
  </si>
  <si>
    <t>Realizar la digitalización del 100% declaraciones de Bienes Inmuebles que se presenten en el año 2015.</t>
  </si>
  <si>
    <t>Realizar la digitalizacion del 100% declaraciones de bienes inmuebles que presenten el el 2016</t>
  </si>
  <si>
    <t>3.14. Proceso de No Afectación.</t>
  </si>
  <si>
    <t>Contar con un registro digital de todas las no afectaciones  de Bienes Inmuebles presentadas por los contribuyentes.</t>
  </si>
  <si>
    <t>3.14.1.Digitalización de las No Afectaciones de Bienes Inmuebles.</t>
  </si>
  <si>
    <t>3.14.1.1. Realizar la digitalización del 100% de las No Afectaciones de Bienes Inmuebles que se presenten en el año.</t>
  </si>
  <si>
    <t>Realizar la digitalización del 100% de las No Afectaciones de Bienes Inmuebles que se presenten en el año.</t>
  </si>
  <si>
    <t>Realizar la digitalización de 16500 solicitudes de  No Afectaciones de Bienes Inmuebles que se presenten en el año.</t>
  </si>
  <si>
    <t>Realizar la digitalización del 100% solicitudes de  No Afectaciones de Bienes Inmuebles que se presenten en el año 2015.</t>
  </si>
  <si>
    <t>Realizar la digitalizacion del 100% de no afectación de bienes inmuebles que presenten el el 2016</t>
  </si>
  <si>
    <t>3.15.Estados Financieros</t>
  </si>
  <si>
    <t>Contar con Estados Financieros, veraces, eficaces y oportunos para la toma de decisiones.</t>
  </si>
  <si>
    <t>3.15.1. Aplicación de las Normas Internacionales de Contabilidad del Sector Público (N.I.C.S.P.)</t>
  </si>
  <si>
    <t>3.15.1.1.Concluir la actualización y revaloración de los activos institucionales</t>
  </si>
  <si>
    <t>Porcentaje actualización y revaloración realizada</t>
  </si>
  <si>
    <t>Dirección Financiera y Dpto. de Contabilidad</t>
  </si>
  <si>
    <t>C.G.R. y Contabilidad Nacional</t>
  </si>
  <si>
    <t>Tener actualizado y revaluados todos los activos institucionales</t>
  </si>
  <si>
    <t>Continuar con la actualización y revaloración de los activos institucionales</t>
  </si>
  <si>
    <t>Se incluyó ext.</t>
  </si>
  <si>
    <t>Según oficio CM-071-2013 ya se contrataron los peritos que van a efectuar la revaloración de los acitvos , se programa para que de inicio enero 2014</t>
  </si>
  <si>
    <t>Continuar con la actualizaciòn y revaloraciòn de los activos institucionales</t>
  </si>
  <si>
    <t>Continuar con la actualizaciòn y revaloraciòn de los activos intstitucionales, en carreteras, puentes, ect.</t>
  </si>
  <si>
    <t>El proceso de actualización se atrasó por el proceso de definición de especificaciones técnicas y contratación</t>
  </si>
  <si>
    <t>Continuar con la actualizaciòn y revaluaciòn de los activos institucionales en carreteras, puentes, ect.</t>
  </si>
  <si>
    <t>3.16. Recaudación de impuestos</t>
  </si>
  <si>
    <t>Mejorar los medios de cobro a los contribuyentes a fin de ser más eficientes en la recaudación.</t>
  </si>
  <si>
    <t>3.16.1. Conectividad con otros bancos y ampliación de horario en cajas para cobros de fin de trimestre.</t>
  </si>
  <si>
    <t>3.16.1.1. Gestionar la conectividad con otros bancos y la ampliación de horarios para cierres de trimestre.</t>
  </si>
  <si>
    <t>Depto. De Tesorería</t>
  </si>
  <si>
    <t>Bancos</t>
  </si>
  <si>
    <t>Lograr la recaudación de todos los ingresos municipales en forma eficiente  y ágil para el contribuyente.</t>
  </si>
  <si>
    <t>Según oficio Tesorería la conectividad ya concluyó</t>
  </si>
  <si>
    <t>3.17. Custodia de valores y fondos públicos</t>
  </si>
  <si>
    <t>incentivar a los proveedores a utilizar la cuenta bancaria para garantías.</t>
  </si>
  <si>
    <t>3.17.1. Establecer mecanismos financieros para la recepción de garantías.</t>
  </si>
  <si>
    <t>3.17.1.1. Implementar la recepción de garantías  mediante depósitos electrónicos u otros mecanismos virtuales.</t>
  </si>
  <si>
    <t>Depto. De Cómputo y Proveeduría, Proveedores</t>
  </si>
  <si>
    <t>Logar mayor seguridad en el control y manejo de los valores utilizando el avance tecnológico.</t>
  </si>
  <si>
    <t>Implementar la recepcion de garantias mediante depositos electronicos y otros mecanismos virtuales</t>
  </si>
  <si>
    <t>Continuar la revision e implementacion  por recepcion de garantias mediante depositos electronicosy otros mecanismos virtuales</t>
  </si>
  <si>
    <t>3% De acuerdo a oficio de la Tesorería está meta ya se cumplió 100%</t>
  </si>
  <si>
    <t>7.18. Pago de servicios y proveedores.</t>
  </si>
  <si>
    <t>Agilizar el trámite de pago de servicios y proveedores por medio de trasferencias electrónicas.</t>
  </si>
  <si>
    <t>3.18.1. Pago electrónico de servicios y proveedores.</t>
  </si>
  <si>
    <t>3.18.1.1.Dar continuidad al pago de servicios y proveedores por medios electrónicos.</t>
  </si>
  <si>
    <t>Dirección Financiera.</t>
  </si>
  <si>
    <t>Pago de las obligaciones por medios electrónicos, logrando mayor agilidad y eficiencia.</t>
  </si>
  <si>
    <t>Dar continuidad y finiquitar el proceso de pagos por medios electronicos</t>
  </si>
  <si>
    <t>Dar continuidad al proceso de pagos por medios electronicos, mejorando en base a la experiencia adquirida</t>
  </si>
  <si>
    <t>3.19.Sesiones del Concejo Municipal</t>
  </si>
  <si>
    <t>Adquirir un Sistema de grabación con video, en el cual queden consignadas y registradas todas las incidencias y acontecimientos que se generan en las Sesiones del Concejo Municipal para que las actas queden transcritas directamente del computador.</t>
  </si>
  <si>
    <t>3.19.1. Sistema de grabación con video.</t>
  </si>
  <si>
    <t>3.19.1.1. Realizar las acciones pertinentes para adquirir y poner en funcionamiento el Sistema de grabación con video.</t>
  </si>
  <si>
    <t>Secretaria Concejo Municipal</t>
  </si>
  <si>
    <t>Concejo Municipal, Alcaldía, Cómputo</t>
  </si>
  <si>
    <t xml:space="preserve">Contar con un sistema de grabación de actas con video  </t>
  </si>
  <si>
    <t>Realizar las acciones pertinentes para adquirir y poner en funcionamiento el Sistema de grabación con video.</t>
  </si>
  <si>
    <t>El equipo ya fue recibido y se están realiznado las conexiones y montaje del mismo, pero no puede instalarse hasta que finalice el trabajo del sistema eléctrico..</t>
  </si>
  <si>
    <t>Según oficio SCM-0949-2013 se indica el seguimiento que se está realizando a la instalación del equipo, se estima que se realice en el mes de abril 2013</t>
  </si>
  <si>
    <t>15% según oficio SCM-2955-2013</t>
  </si>
  <si>
    <t>3.20. Notificación de acuerdos, resoluciones y documentos.</t>
  </si>
  <si>
    <t>Instalar un sistema de firma digital, para realizar las notificaciones a través de medio electrónicos y de la red, tanto a lo interno de la institución, como a nivel externo.</t>
  </si>
  <si>
    <t>3.20.1. Sistema de firma digital.</t>
  </si>
  <si>
    <t>3.20.1.1. Realizar las acciones pertinentes para adquirir y poner en funcionamiento un Sistema de firma digital.</t>
  </si>
  <si>
    <t>Contar con un sistema de firma digital a fin de implementar el proceso de notificación mediante soporte electrónico.</t>
  </si>
  <si>
    <t>Realizar las acciones pertinentes para adquirir y poner en funcionamiento un Sistema de firma digital.</t>
  </si>
  <si>
    <t>3.21. Plan de Desarrollo Municipal</t>
  </si>
  <si>
    <t>Dar seguimiento al cumplimiento del Plan de Desarrollo Municipal.</t>
  </si>
  <si>
    <t>3.21.1.Sistema de seguimiento Plan de Desarrollo Municipal</t>
  </si>
  <si>
    <t>3.21.1.1. Implementar un sistema de seguimiento y monitoreo del Plan de Desarrollo Municipal</t>
  </si>
  <si>
    <t>Sistema Implementado</t>
  </si>
  <si>
    <t>Planificación</t>
  </si>
  <si>
    <t>Alcaldía y Jefaturas</t>
  </si>
  <si>
    <t>Contar con un sistema que permita medir resultados a fin de tomar acciones correctivas cuando proceda</t>
  </si>
  <si>
    <t>implementar un Sistema de Seguimiento y Control del Plan de Desarrollo Municipal</t>
  </si>
  <si>
    <t>Realizar un  informe de evaluación del Plan de Desarrollo Municipal a mediano plazo al año.</t>
  </si>
  <si>
    <t>3.22.Envío de recibos  y/o estados de cuenta</t>
  </si>
  <si>
    <t>Distribuir los recibos o estados de cuenta a los contribuyentes del Cantón</t>
  </si>
  <si>
    <t>3.22.1.Establecer un enlace entre el Municipio y la E.S.P.H., para que en forma simultanea se distribuyan los recibos de los servicios públicos y los tributos municipales</t>
  </si>
  <si>
    <t>3.22.1.1.Gestionar la firma de un convenio específico entre la Municipalidad de Heredia y la E.S.P.H.</t>
  </si>
  <si>
    <t>Convenio firmado</t>
  </si>
  <si>
    <t>Dirección de Servicios y Gestión de Ingresos</t>
  </si>
  <si>
    <t>Proveeduría, E.S.P.H.</t>
  </si>
  <si>
    <t>Se cuente con un convenio de cooperación</t>
  </si>
  <si>
    <t>Enlazar el 10% las bases de datos de la E.S.P.H. y la del Municipio durante el año 2012</t>
  </si>
  <si>
    <t>Se reprograma para continuar este año seg{un oficio DF-153-2013</t>
  </si>
  <si>
    <r>
      <t>3.22.1.2. Enlazar el 100% las bases de datos de la E.S.P.H. y la del municipio</t>
    </r>
    <r>
      <rPr>
        <sz val="11"/>
        <color rgb="FFFF0000"/>
        <rFont val="Calibri"/>
        <family val="2"/>
        <scheme val="minor"/>
      </rPr>
      <t>(SE ELIMINÓ ESTA META)</t>
    </r>
  </si>
  <si>
    <t>Porcentaje de registros actualizados</t>
  </si>
  <si>
    <t>Rentas y Cobranzas</t>
  </si>
  <si>
    <t>E.S.P.H., Computo, Catastro</t>
  </si>
  <si>
    <t>Que se actualice la información de los contribuyentes del cantón, disminuya el pendiente de cobro ya que el contribuyente contara con la facilidad de recibir los recibos en su domicilio</t>
  </si>
  <si>
    <t>Se está desarrollando la logística, no se ha llegado a la etapa de manejo de datos</t>
  </si>
  <si>
    <t>Enlazar el 20% las bases de datos de la E.S.P.H. y la del municipio, por medio de la actualización de 13200 registros durante el año 2013</t>
  </si>
  <si>
    <t>Esta meta está trámite de eliminarse</t>
  </si>
  <si>
    <t>3.23.Salud Ocupacional</t>
  </si>
  <si>
    <t xml:space="preserve">Implementar un programa de salud ocupacional </t>
  </si>
  <si>
    <t xml:space="preserve">3.23.1.Brindar mejores condiciones para la atención de la salud del personal municipal.
</t>
  </si>
  <si>
    <t>3.23.1.2.Promover  acciones para la salud ocupacional del personal municipal en coordinación con el  INA y otras instituciones..</t>
  </si>
  <si>
    <r>
      <rPr>
        <sz val="11"/>
        <rFont val="Calibri"/>
        <family val="2"/>
      </rPr>
      <t>UAEG</t>
    </r>
    <r>
      <rPr>
        <sz val="11"/>
        <rFont val="Calibri"/>
        <family val="2"/>
        <scheme val="minor"/>
      </rPr>
      <t xml:space="preserve"> y Unidad Administrativa responsable de Desarrollo Social, </t>
    </r>
    <r>
      <rPr>
        <sz val="11"/>
        <rFont val="Calibri"/>
        <family val="2"/>
      </rPr>
      <t>Departamento de Recursos Humanos.</t>
    </r>
  </si>
  <si>
    <t xml:space="preserve">La Municipalidad de Heredia es una institución  que cuida el recurso humano y promueve la salud de su personal, por medio de servicio de medicina de empresa al menos dos días por semana. </t>
  </si>
  <si>
    <t>Implementar un programa de Salud Ocupacional       -Coordinar con el departamento de Recursos Humanos una acción de autocuidado para el personal muncipal en el marco del programa de Salud Ocupacional.</t>
  </si>
  <si>
    <t>Desde el ingreso de la encargada de Slaud Ocupacional asi puesto, se ha vendio trabajndo ne Manueles de Reiesgos de Trabajo y el Plan de trabajo y el Plna de Emergaencia los cules forman parte del programa de Salud Ocupacional.  Los Manuales de Aseo de Viás área adminsitrativa y miscelaneso sya estna hechos y se presentaran a los correspondentes jefatura en el mes de enero del 2013 para su implementación y el Plan de Emergencias se encueentra una empresa contratada realizndo dese de diciembre 2012</t>
  </si>
  <si>
    <t>Realizar una capacitación  para  funcionarios municipales en materia de Salud Ocupacional</t>
  </si>
  <si>
    <t>Promover  acciones para la salud ocupacional del personal municipal en coordinación con el  INA y otras instituciones..</t>
  </si>
  <si>
    <t>Promover  acciones para la salud y seguridad ocupacional del personal municipal en coordinación con instituciones públicas y empresas privadas</t>
  </si>
  <si>
    <t>3.24. Política de Igualdad y Equidad de Género</t>
  </si>
  <si>
    <t>Contribuir a la inclusión de la perspectiva de la gestión municipal.</t>
  </si>
  <si>
    <t>3.24.1.Favorecer los mecanismos de coordinación institucional.</t>
  </si>
  <si>
    <t>3.24.1.1.Realizar reuniones periódicas con la Comisión Mixta.</t>
  </si>
  <si>
    <t>Porcentaje de reuniones realizadas</t>
  </si>
  <si>
    <t>Comisión Mixta, Alcaldía</t>
  </si>
  <si>
    <t>Se cuentan con mecanismos e instancias claras de coordinación institucional para la inclusión de la perspectiva de género en la gestión municipal.</t>
  </si>
  <si>
    <t xml:space="preserve">Realizar dos reuniones con la "Comisión Mixta", para dar seguimiento a la política de igualdad y equidad de género. </t>
  </si>
  <si>
    <t>Según oficio MH-OFIM-286-2013, cumplida 100%</t>
  </si>
  <si>
    <t>Desarrollar 12 reuniones periódicas de coordinación de la comisión mixta.</t>
  </si>
  <si>
    <t>Cumplida 75%</t>
  </si>
  <si>
    <t>Durante el primer trimestre la comisión se reunión solo una vez</t>
  </si>
  <si>
    <t>Desarrollar 4 reuniones una por trimestre coordinación de la Comisión Mixta</t>
  </si>
  <si>
    <t>Durante el III trimestre no se pudo coordinar la reunión</t>
  </si>
  <si>
    <t>Desarrollar 4 reuniones una por trimestre coordinación de la comisión mixta.</t>
  </si>
  <si>
    <t xml:space="preserve">Desarrollar un proceso de evaluación del cumplimiento e impacto de las acciones propuestas en la política de igualdad y equidad. </t>
  </si>
  <si>
    <t>3.24.2.Valorar el avance en implementación de la política con el fin de establecer mejoras de ser necesario.</t>
  </si>
  <si>
    <t xml:space="preserve">3.24.2.1.Evaluación intermedia del avance de la política de igualdad y equidad. </t>
  </si>
  <si>
    <t xml:space="preserve">Informe  de evaluación </t>
  </si>
  <si>
    <t>Alcaldía,  UAEG, Comisión Mixta</t>
  </si>
  <si>
    <t xml:space="preserve">Interno </t>
  </si>
  <si>
    <t>La política institucional cuenta con una  cultura de evaluación de acciones desarrolladas con el fin de mejorar la gestión de la misma.</t>
  </si>
  <si>
    <t>La realización de la Evaluación intermedia  y final del avance de la política de igualdad y equidad.</t>
  </si>
  <si>
    <t>3.24.2.2.Evaluación final de política de igualdad y equidad.</t>
  </si>
  <si>
    <t>Informe de evaluación final</t>
  </si>
  <si>
    <t>La realización de la Evaluación  final de la política de igualdad y equidad.</t>
  </si>
  <si>
    <t>LP 3.25. Desarrollar Políticas, estrategias y programas de dotación y desarrollo del talento humano.</t>
  </si>
  <si>
    <t>LP 3.25.1. Al menos una política de desarrollo del talento humano diseñada y en implementación a diciembre de 2012.</t>
  </si>
  <si>
    <t>Dpto. Recursos Humanos</t>
  </si>
  <si>
    <t>3.25. Desarrollar Políticas, estrategias y programas de dotación y desarrollo del talento humano.</t>
  </si>
  <si>
    <t>3.25.1. Políticas, estrategias y programas de dotación y desarrollo del talento humano.</t>
  </si>
  <si>
    <t>3.25.1.1. Diseñar al menos una política de desarrollo del talento humano  a diciembre de 2012.</t>
  </si>
  <si>
    <t>Politica diseñada</t>
  </si>
  <si>
    <t>Lograr el fortalecimiento institucional</t>
  </si>
  <si>
    <t>Se crearon dos políticas , una en contratación de personal en puesto " no tradicionales" y otra política en Salud Ocupacional, se está a la espera de aprobación por parte del Concejo Municipal para su debida implementación.</t>
  </si>
  <si>
    <t>De acuerdo a lo indicado en ofico TH-739-2013</t>
  </si>
  <si>
    <t>Cumplimiento 100% 2013</t>
  </si>
  <si>
    <t>3.25.1.2. Implemenación del 45%  la  Política de desarrollo del talento humano .</t>
  </si>
  <si>
    <t>Politica implementada</t>
  </si>
  <si>
    <t>De acuerdo al oficio TH-18-2014 se realizaron acciones para implementar las politicas formuladas ( cumplimiento 100%)</t>
  </si>
  <si>
    <t>Implemenación del 45%  la  Política de desarrollo del talento humano .</t>
  </si>
  <si>
    <t>LP 3.25.1.3.  Al menos una estrategia y programa de dotación y desarrollo del talento humano formulados y en operación a partir de enero de 2013.</t>
  </si>
  <si>
    <t xml:space="preserve">3.25.1.3. Formular una  estrategia y programa de dotación y desarrollo del talento humano </t>
  </si>
  <si>
    <t>Estrategia   y programa formulado</t>
  </si>
  <si>
    <t>Definir una estrategia y programa de dotación y desarrollo del talento humano formulados y en operación a partir de enero de 2013.</t>
  </si>
  <si>
    <t>LP 3.25.1.4.  Al menos 10% del RRHH Municipal capacitado y/o motivado anualmente como resultado de las políticas, estrategias y programas implementados, a partir de enero 2013.</t>
  </si>
  <si>
    <t>3.25.1.4. Implementación del 50%  las , estrategias y programas  de dotación y desarrollo del talento humano</t>
  </si>
  <si>
    <t>Estrategia   y programa implementado</t>
  </si>
  <si>
    <t>La estrategia  y programa de dotación y desarrollo del talento humono se realizó durante el año 2013, se estaría implementando a partir 2014</t>
  </si>
  <si>
    <t>Implementación del 50%  las , estrategias y programas  de dotación y desarrollo del talento humano</t>
  </si>
  <si>
    <t>Implementación del 50% de las estrategias y programas de dotación y desarrollo del talento humano.</t>
  </si>
  <si>
    <t xml:space="preserve"> Implementación del 50%  las, estrategias y programas  de dotación y desarrollo del talento humano</t>
  </si>
  <si>
    <t>LP 3.25.1.5. Un estudio de Clima Organización realizado a setiembre de 2012.</t>
  </si>
  <si>
    <t>set- 2012</t>
  </si>
  <si>
    <t>3.25.1.5 Un estudio de Clima Organización realizado a setiembre de 2012.</t>
  </si>
  <si>
    <t>LP 3.25.1.6. Un estudio de cargas de trabajo y productividad realizado a setiembre de 2012.</t>
  </si>
  <si>
    <t>3.25.1.6. Un estudio de cargas de trabajo y productividad realizado a setiembre de 2013.</t>
  </si>
  <si>
    <t>Por falta de presupuesto esta meta no se pudo ejecutar en el año 2013, se ejecutará 2013</t>
  </si>
  <si>
    <t>LP  3.26. Implementar programa de optimización de procesos y simplificación de trámites y requisitos de la gestión municipal.</t>
  </si>
  <si>
    <t>LP 3.26.1.1. Un programa de optimización de procesos realizado al 30 de agosto de 2013.</t>
  </si>
  <si>
    <t>3.26. Implementar programa de optimización de procesos y simplificación de trámites y requisitos de la gestión municipal.</t>
  </si>
  <si>
    <t>3.26.1. Programa de optimización de procesos y simplificación de trámites y requisitos de la gestión municipal.</t>
  </si>
  <si>
    <t>3.26.1.1. Un programa de optimización de procesos realizado al 30 de agosto de 2013.</t>
  </si>
  <si>
    <t>Programa realizado</t>
  </si>
  <si>
    <t>Realizar un programa de optimización de procesos realizado al 30 de agosto de 2013.</t>
  </si>
  <si>
    <t>LP 3.26.1.2. Al menos el 10% de los macro-procesos de la gestión municipal optimizados a agosto 2013.</t>
  </si>
  <si>
    <t>3.26.1.2. Al menos el 10% de los macro-procesos de la gestión municipal optimizados a agosto 2013.</t>
  </si>
  <si>
    <t>Acción realizada</t>
  </si>
  <si>
    <t>Desarrolar e implementar medidas para optimizar los macro-prcesos  de la gestión muniicpal.</t>
  </si>
  <si>
    <t>LP 3.26.1.3. Un programa de simplificación de trámites y requisitos implementado en la Municipalidad a diciembre 2013</t>
  </si>
  <si>
    <t>3.26.1.3. Un programa de simplificación de trámites y requisitos implementado en la Municipalidad a diciembre 2013</t>
  </si>
  <si>
    <t>Realizar un programa de simplificación de trámites y requisitos implementado en la Municipalidad a diciembre 2013</t>
  </si>
  <si>
    <t>LP 3.27.  Implementar un programa efectivo de recaudación de impuestos municipales y gestión de cobro que genere recursos financieros suficientes para cubrir servicios de apoyo al plan de desarrollo de la Municipalidad de Heredia.</t>
  </si>
  <si>
    <t>LP 3.27.1.1 .Aumentados los Ingresos reales tributarios municipales en un 1% anual a partir de enero 2013.</t>
  </si>
  <si>
    <t>Dirección Financiera y Gestión de Cobro</t>
  </si>
  <si>
    <t>3.27. Implementar un programa efectivo de recaudación de impuestos municipales y gestión de cobro que genere recursos financieros suficientes para cubrir servicios de apoyo al plan de desarrollo de la Municipalidad de Heredia.</t>
  </si>
  <si>
    <t>3.27.1. Programa efectivo de recaudación de impuestos municipales y gestión de cobro que genere recursos financieros suficientes para cubrir servicios de apoyo al plan de desarrollo de la Municipalidad de Heredia.</t>
  </si>
  <si>
    <t>3.27.1.1. Aumentados los Ingresos reales tributarios municipales en un 1% anual a partir de enero 2013.</t>
  </si>
  <si>
    <t>Porcentaje alcanzado</t>
  </si>
  <si>
    <t>Aumentados los Ingresos reales tributarios municipales en un 1% anual a partir de enero 2013.(Cambio Prog. POA)</t>
  </si>
  <si>
    <t>Aumentar los Ingresos reales tributarios municipales en un 1% anual a partir de enero 2014.</t>
  </si>
  <si>
    <t>Aumentar los Ingresos reales tributarios municipales en un 1% anual a partir de enero 2015</t>
  </si>
  <si>
    <t>LP 3.27.1.2. Una base de datos actualizada y depurada  a partir de diciembre de  2012.</t>
  </si>
  <si>
    <t>3.27.1.2. Contar con una base de datos actualizada y depurada  a partir de diciembre de  2012.</t>
  </si>
  <si>
    <t>Base de datos actualizada y depurada</t>
  </si>
  <si>
    <t>Se realizó una depuración donde se revisron fincas con valor cero sin medidas , pero el trabajo es demasiado amplio, ya que se detectaron problemas con cédulas y una serie de fallecidos, que poseen cobros para lo cula se deben de abrir procesos nortuales, por lo que el trabajo no se concluyó y más bien dicha depuración se presentó como parte de un plan ante la CGR.</t>
  </si>
  <si>
    <t>LP 3.27.1.3. Reducida la morosidad en el pago de tributos municipales en un1% anual a partir de diciembre de 2013.</t>
  </si>
  <si>
    <t>3.27.1.3. Reducida la morosidad en el pago de tributos municipales en un1% anual a partir de diciembre de 2013.</t>
  </si>
  <si>
    <t>Reducida la morosidad en el pago de tributos municipales en un 1% anual a partir de diciembre de 2013.(Cambio Prog. POA)</t>
  </si>
  <si>
    <t>Reducida la morosidad en el pago de tributos municipales en un 1% anual a partir de diciembre de 2013.</t>
  </si>
  <si>
    <r>
      <t>Según indica el Director Financiero en oficio DF-104-2014 se bajó la morosidad por lo que la meta si se cumplió en el</t>
    </r>
    <r>
      <rPr>
        <b/>
        <sz val="10"/>
        <color rgb="FFFF0000"/>
        <rFont val="Arial"/>
        <family val="2"/>
      </rPr>
      <t xml:space="preserve"> 2013.</t>
    </r>
  </si>
  <si>
    <t>LP 3.28.  Fortalecer el sistema de información y comunicación Municipal.</t>
  </si>
  <si>
    <t xml:space="preserve">LP 3.28.1.1. Un Sistema Informático Integrado Municipal en implementación a partir de junio de 2012.  </t>
  </si>
  <si>
    <t>Direcciones Municipales</t>
  </si>
  <si>
    <t>3.28. Fortalecer el sistema de información y comunicación Municipal.</t>
  </si>
  <si>
    <t>3.28.1. Fortalecer el sistema de información y comunicación Municipal.</t>
  </si>
  <si>
    <t xml:space="preserve">3.28.1.1. Un Sistema Informático Integrado Municipal en implementación a partir de junio de 2012.  </t>
  </si>
  <si>
    <t>Sistema implementado</t>
  </si>
  <si>
    <t>Se trabajó en la implementación y se avanzó en direrentes áreas , pero no se logró su implementación total , por disposición CGR, hasta noviembre del 2014 y genera informes a los 15 días , se está trabajando para bajar el plazo</t>
  </si>
  <si>
    <t>Según ofiico DF-153-2013 indica que es una labor de Catastro, se debe tramitar modificación redacción meta</t>
  </si>
  <si>
    <t>Realizar mejoras al  SIAM, para cumplir con el informe DFOE-DL-IF-13-2012 de la CGR.</t>
  </si>
  <si>
    <t>Cumplimiento 75%</t>
  </si>
  <si>
    <t>LP 3.28.1.2. Un sistema de información gerencial en implementación efectiva a partir de enero 2014.</t>
  </si>
  <si>
    <r>
      <t>3.28.1.2.Un sistema de información gerencial en implementación efectiva a partir de enero 2014.</t>
    </r>
    <r>
      <rPr>
        <sz val="11"/>
        <rFont val="Calibri"/>
        <family val="2"/>
        <scheme val="minor"/>
      </rPr>
      <t>(ELIMINADA)</t>
    </r>
  </si>
  <si>
    <t>Según ofiicio DF-153-2013, solicitar información al Depto. Cómputo}</t>
  </si>
  <si>
    <t>Esta meta está en tramite de eliminación</t>
  </si>
  <si>
    <t>LP 3.28.1.3. El sistema de información genera mensualmente los reportes de gestión contable y presupuestaria a los 8 días una vez finalizado cada periodo de gestión mensual.</t>
  </si>
  <si>
    <t>3.28.1.3. El sistema de información genera mensualmente los reportes de gestión contable y presupuestaria a los 8 días una vez finalizado cada periodo de gestión mensual.</t>
  </si>
  <si>
    <t>Reportaes generados plazo establecido</t>
  </si>
  <si>
    <t>El sistema no se ha podidio implementar  porque todavía no está integrado en su totalidad</t>
  </si>
  <si>
    <t>Realizar la emisiòn de los Estados Financieros Mensuales, por medio del registro de todos los asientos correspondientes a las transacciones de cada mes y asì mantener un sistema de informaciòn que permita y genere informaciòn veraz y confiable para ayudar en la toma de decisiones</t>
  </si>
  <si>
    <t>Actualización del sistema informatico utilizado.</t>
  </si>
  <si>
    <t>Un sistema de información geográfica, implementado a partir de diciembre de 2017.</t>
  </si>
  <si>
    <t>LP 3.29. Fortalecer los vínculos y alianzas estratégicas de la municipalidad con otros entes públicos y privados.</t>
  </si>
  <si>
    <t>LP 3.29.1.  Al menos una nueva alianza anual establecida formalmente con un ente público o privado a partir de enero 2012.</t>
  </si>
  <si>
    <t>3.29.Fortalecer los vínculos y alianzas estratégicas de la municipalidad con otros entes públicos y privados.</t>
  </si>
  <si>
    <t>3..29.1. Fortalecer los vínculos y alianzas estratégicas de la municipalidad con otros entes públicos y privados.</t>
  </si>
  <si>
    <t>3.29.1.1. Al menos una nueva alianza anual establecida formalmente con un ente público o privado a partir de enero 2012.</t>
  </si>
  <si>
    <t>Alianza establecida</t>
  </si>
  <si>
    <t>De acuerdo a lo que se indica se realizó alianza MEIC</t>
  </si>
  <si>
    <t>Lograr  establecer una alianza ya sea con una entidad publica o privada que permita mejorar las labores que brinde el municipio</t>
  </si>
  <si>
    <t>Lograr  establecer una alianza ya sea con una entidad publica o privada que permita mejorar las labores que brinde el municipio.</t>
  </si>
  <si>
    <t>AREA ESTRATEGICA: SEGURIDAD CIUDADANA</t>
  </si>
  <si>
    <t>Fortalecer la seguridad ciudadana del Cantón Primero de Heredia mediante un programa integral de prevención y atención</t>
  </si>
  <si>
    <t>LP 4.1. y LP 4.2. Fomentar la coordinación de programas preventivos y correctivos en materia de seguridad con instituciones públicas, entidades privadas y grupos organizados de la sociedad civil.</t>
  </si>
  <si>
    <t>LP 4.1.1. a LP 4.1.6.  ( Excluye  4.1.4.3., 4.1.4.5. y 4.1..4.6 )Realizar al menos cuatro proyectos que fomenten la coordinación de los programas preventivos y correctivos en materia de seguridad</t>
  </si>
  <si>
    <t>Policía Municipal</t>
  </si>
  <si>
    <t>SEGURIDAD  CIUDADANA</t>
  </si>
  <si>
    <t>4.1. Programa Seguridad Ciudadana</t>
  </si>
  <si>
    <t xml:space="preserve">Fortalecer la seguridad  ciudadana, implementando  estrategias y alianzas con otras instituciones  con el fin de propiciar un ambiente seguro para toda la comunidad herediana.
</t>
  </si>
  <si>
    <t>4.1.1. Fortalecer la policía municipal,tomando en cuenta la equidad de género, acorde con el desarrollo del proyecto "Seguridad Herediana Digital" (incorporar más oficiales)</t>
  </si>
  <si>
    <r>
      <t>4.1.1.1.Crear cuatro plazas de Policía Municipal por año</t>
    </r>
    <r>
      <rPr>
        <sz val="11"/>
        <color rgb="FFFF0000"/>
        <rFont val="Calibri"/>
        <family val="2"/>
        <scheme val="minor"/>
      </rPr>
      <t>(eliminada)</t>
    </r>
  </si>
  <si>
    <t>Porcentaje de plazas creadas</t>
  </si>
  <si>
    <t>Recursos Humanos y Policía Municipal</t>
  </si>
  <si>
    <t>Satisfacer las necesidades de la comunidad y brindar un mejor servicio.</t>
  </si>
  <si>
    <t>Por directriz Alcaldía Municipal , durante el año no se crearon nuevas plazas de Policía Municipal</t>
  </si>
  <si>
    <t>Esta meta se va a elilminar</t>
  </si>
  <si>
    <t>4.1.2. Seguridad Herediana digital.</t>
  </si>
  <si>
    <t xml:space="preserve">4.1.2.1. Implementación del  proyecto Seguridad Herediana Digital </t>
  </si>
  <si>
    <t>Alcaldía, Policía Municipal,Empresa Mixta</t>
  </si>
  <si>
    <t>ESPH</t>
  </si>
  <si>
    <t>Mejorar las condiciones de seguridad ciudadana en el cantón.</t>
  </si>
  <si>
    <t>Implementacion de proyecto Seguridad Herediana Digital por medio de la realización de varias reuniones.</t>
  </si>
  <si>
    <t>Cumplimiento 50%</t>
  </si>
  <si>
    <t xml:space="preserve">Implementación del  proyecto Seguridad Herediana Digital </t>
  </si>
  <si>
    <t xml:space="preserve"> Implementación del  proyecto Seguridad Herediana Digital </t>
  </si>
  <si>
    <t>4.1.3. Generar acciones para que las instancias policiales y judiciales con presencia local,  ejerzan las potestades que la ley les otorga en materia de seguridad.</t>
  </si>
  <si>
    <t>4.1.3.1.Realizar un proyecto de integración institucional para mejorar la seguridad ciudadana, mediante convenios, capacitaciones, redes de comunicación unificada, acceso al sistema de monitoreo y programas preventivos con las diferentes  Policías Administrativas y represivas.</t>
  </si>
  <si>
    <t>Porcentaje de gestiones realizadas</t>
  </si>
  <si>
    <t>Policía Municipal, Dirección de Servicios y Gestión Ingresos, Dirección Jurídica</t>
  </si>
  <si>
    <t>Fuerza Pública y OIJ</t>
  </si>
  <si>
    <t>Realizar reuniones con el fin de implementar  un proyecto de integración institucional para mejorar la seguridad ciudadana, mediante convenios, capacitaciones, redes de comunicación unificada, acceso al sistema de monitoreo y programas preventivos con las diferentes  Policías Administrativas y represivas.</t>
  </si>
  <si>
    <t>Realizar reuniones para coordinar el proyecto de integración institucional para mejorar la seguridad ciudadana, mediante convenios, capacitaciones, redes de comunicación unificada, acceso al sistema de monitoreo y programas preventivos con las diferentes  Policías Administrativas y represivas.</t>
  </si>
  <si>
    <t>Formalizar un convenio de coordinación con la OIJ y Fuerza Pública, para realizar un enlace con las cámaras de monitoreo de la Municipalidad.</t>
  </si>
  <si>
    <t>75% Cumplimiento</t>
  </si>
  <si>
    <t>Se cuenta con un borrador del convenio a la espera de visto bueno del departamento juridico para las firmas correspondientes, por lo que se estara realizando la formalización en el I trimestre 2015</t>
  </si>
  <si>
    <t>Realizar al menos 8 reuniones  para mejorar la seguridad ciudadana para coordinar  redes de comunicación unificada, acceso al sistema de monitoreo y programas preventivos con las diferentes  Policías Administrativas y represivas con comunidadaes, comercio y centros educativos, en conjunto con fuerza publica y OIJ.</t>
  </si>
  <si>
    <t>Realizar un proyecto de integración institucional para mejorar la seguridad ciudadana, mediante convenios, capacitaciones, redes de comunicación unificada, acceso al sistema de monitoreo y programas preventivos con las diferentes  Policías Administrativas y represivas.</t>
  </si>
  <si>
    <t>4.1.4. Crear alianzas entre la policía municipal y las organizaciones comunales en cuestiones de   Seguridad ciudadana.</t>
  </si>
  <si>
    <t>4.1.4.1.Crear una sub unidad de Seguridad Comunitaria para capacitar a las comunidades de forma permanente</t>
  </si>
  <si>
    <t>Unidad Creada</t>
  </si>
  <si>
    <t>Crear una sub unidad de Seguridad Comunitaria para capacitar a las comunidades de forma permanente por medio de la capacitación de cuatro oficiales</t>
  </si>
  <si>
    <t>4.1.4.2.Realizar una reunión anual  de coordinación con los lideres comunales.</t>
  </si>
  <si>
    <t>Reuniones realizadas</t>
  </si>
  <si>
    <t>.Realizar una reunión anual  de coordinación con los lideres comunales.</t>
  </si>
  <si>
    <t>Realizar una reunión anual  de coordinación con los lideres comunales.</t>
  </si>
  <si>
    <t>Realizar una reunion anual de coordinacion con lideres comunales</t>
  </si>
  <si>
    <t>LP 4.1.4.3 .Al menos 11 charlas sobre seguridad comunitaria impartidas por distrito, por semestre, a partir de enero 2012.</t>
  </si>
  <si>
    <t>4.1.4.3.Realizar 12 reuniones anuales con las comunidades</t>
  </si>
  <si>
    <t>Realizar 12 reuniones anuales con las comunidades</t>
  </si>
  <si>
    <t>4.1.4.4.Realizar cinco capacitaciones anuales en comunidades "Ojos y Oídos".</t>
  </si>
  <si>
    <t>Porcentaje de capacitaciones realizadas</t>
  </si>
  <si>
    <t>Realizar cinco capacitaciones anuales en comunidades "Ojos y Oídos".</t>
  </si>
  <si>
    <t>Realizar  22 capacitaciones anuales en comunidades "Ojos y Oídos".</t>
  </si>
  <si>
    <t>LP 4.1.4.5. .Se constituye al menos un Comité de Barrios Organizados de "Ojos y oídos" contra la delincuencia, por distrito, por semestre, a partir de enero de 2013.</t>
  </si>
  <si>
    <t>4.1.4.5. Constituir al  menos un Comité de Barrios Organizados de "Ojos y oídos" contra la delincuencia, por distrito, por semestre, a partir de enero de 2013.</t>
  </si>
  <si>
    <t>No. comités constituidos</t>
  </si>
  <si>
    <t>Mejora la seguridad ciudadana</t>
  </si>
  <si>
    <r>
      <t>Constituir al  menos un Comité de Barrios Organizados de "Ojos y oídos" contra la delincuencia, por distrito, por semestre.</t>
    </r>
    <r>
      <rPr>
        <sz val="11"/>
        <color rgb="FFFF0000"/>
        <rFont val="Calibri"/>
        <family val="2"/>
        <scheme val="minor"/>
      </rPr>
      <t>.</t>
    </r>
  </si>
  <si>
    <t>Constituir al  menos un Comité de Barrios Organizados de "Ojos y oídos" contra la delincuencia, por semestre</t>
  </si>
  <si>
    <t>LP 4.1.4.6.  Al menos 15 personas graduadas en seguridad ciudadana por distrito, por semestre, a partir de junio 2012.</t>
  </si>
  <si>
    <t>4.1.4.6. Graduar al menos 15 personas en seguridad ciudadana por distrito, por semestre, a partir de junio 2012.</t>
  </si>
  <si>
    <t>No. personas graduadas</t>
  </si>
  <si>
    <t>Policia Municipal</t>
  </si>
  <si>
    <t>Graduar al menos 60 personas en seguridad ciudadana  por semestre.</t>
  </si>
  <si>
    <t>Graduar al menos 15 personas en seguridad ciudadana por distrito, por semestre</t>
  </si>
  <si>
    <t>4.1.5. Establecer una subdelegación policial en San Francisco.</t>
  </si>
  <si>
    <t>4.1.5.1.Presentar propuesta a la Alcaldía Municipal para poder realizar convenios con las Asociaciones de Desarrollo, para préstamos de oficinas y creación plazas por subdelegación.</t>
  </si>
  <si>
    <t>Porcentaje de la Propuesta presentada</t>
  </si>
  <si>
    <t>Asociaciones de Desarrollo</t>
  </si>
  <si>
    <t>Mitigar o disminuir la delincuencia</t>
  </si>
  <si>
    <t>Presentar propuesta a la Alcaldía Municipal para poder realizar convenios con las Asociaciones de Desarrollo, para préstamos de oficinas y creación plazas por subdelegación.</t>
  </si>
  <si>
    <t>100%, se presentó la propuesta a la Alcaldía Municipal según oficoi DPM-204-2013</t>
  </si>
  <si>
    <t>LP 4.2.1. y Lp 4.2.2. Un plan integral de programas preventivos en materia de seguridad, formulado y aprobado por las entidades relacionadas a diciembre 2013.</t>
  </si>
  <si>
    <t>4.2.Programas preventivo en materia de seguridad</t>
  </si>
  <si>
    <t>Crear un programa preventivo anti drogas y delitos en Escuelas y Colegios.</t>
  </si>
  <si>
    <t>4.2.2.Plan integral de programas preventivos en materia de seguridad</t>
  </si>
  <si>
    <t>4.2.2.1.Formular un plan integral de programas preventivos en materia de seguridad</t>
  </si>
  <si>
    <t>Se incluyó 2014</t>
  </si>
  <si>
    <t>Formular un Plan Integral de Infraestructura en materia de Seguridad</t>
  </si>
  <si>
    <t>Se tien un avance de un 53%</t>
  </si>
  <si>
    <t>4.2.1 Prevenir el delito y  consumo de drogas no autorizadas por medio de programas de Educación en Escuelas y Colegios del Cantón Central de Heredia.</t>
  </si>
  <si>
    <t>4.2.1.1. Realizar la coordinación con la Dirección regional  del MEP para implementar proyecto.</t>
  </si>
  <si>
    <t>Reunión de coordinación realizada</t>
  </si>
  <si>
    <t>Concientizar a los jóvenes sobre el daño que causan  las drogas y bajar el índice de delincuencia juvenil.</t>
  </si>
  <si>
    <t>Realizar la coordinación con la Dirección regional  del MEP para implementar proyecto.</t>
  </si>
  <si>
    <t>Se tien un avance de un 35%</t>
  </si>
  <si>
    <t>4.2.1.2.Realizar dos reuniones anuales para enlazar a todas la instituciones de primaria y secundaria del Cantón central de Heredia.</t>
  </si>
  <si>
    <t>Porcentaje de  reuniones realizadas</t>
  </si>
  <si>
    <t>MEP Institutos de Educación</t>
  </si>
  <si>
    <t>Realizar dos reuniones anuales para enlazar a todas la instituciones de primaria y secundaria del Cantón central de Heredia.</t>
  </si>
  <si>
    <t>4.2.1.3. Realizar 18 presentaciones anuales  con la Unidad K-9 para prevenir la delincuencia juvenil y el consumo de drogas</t>
  </si>
  <si>
    <t>Porcentaje de presentaciones realizadas</t>
  </si>
  <si>
    <t>Policía Municipal y Unidad de K-9</t>
  </si>
  <si>
    <t>IAFA, PANI,Ministerio de Justicia.</t>
  </si>
  <si>
    <t>Realizar 18 presentaciones anuales  con la Unidad K-9 para prevenir la delincuencia juvenil y el consumo de drogas</t>
  </si>
  <si>
    <t>Realizar 24 presentaciones anuales  con la Unidad K-9 para prevenir la delincuencia juvenil y el consumo de drogas</t>
  </si>
  <si>
    <t>4.2.1.4. Realizar 9 operativos antidrogas mínimos  por año.</t>
  </si>
  <si>
    <t>Porcentaje de operativos realizados</t>
  </si>
  <si>
    <t>Institutos de Educación</t>
  </si>
  <si>
    <t>Realizar 9 operativos antidrogas mínimos  por año.</t>
  </si>
  <si>
    <t>Realizar 20 operativos antidrogas mínimos  por año.</t>
  </si>
  <si>
    <t>LP 4.3. Formular e impulsar políticas de seguridad cantonal para que sean de conocimiento y aplicación de todos los habitantes.</t>
  </si>
  <si>
    <t xml:space="preserve"> LP 4.3.1. Una política integral de seguridad cantonal formulada y aprobada por todas las Entidades relacionadas a diciembre de 2013.</t>
  </si>
  <si>
    <t>4.3. Formular e impulsar políticas de seguridad cantonal para que sean de conocimiento y aplicación de todos los habitantes.</t>
  </si>
  <si>
    <t xml:space="preserve">4.3.1. Política integral de seguridad cantonal </t>
  </si>
  <si>
    <t>4.3.1.1.Formular una  política integral de seguridad cantonal a diciembre de 2013.</t>
  </si>
  <si>
    <t>Política formulada y aprobada</t>
  </si>
  <si>
    <t>MEP;Poder Judicial, Fuerza Pública, ESPH</t>
  </si>
  <si>
    <t>Realizar una política de seguridad Cantonal que incluya un  plan integral de programas preventivos en materia de seguridad</t>
  </si>
  <si>
    <t xml:space="preserve">Una de las metas es el plan cantonal de Seguridad Ciudadana, el cual por el cambio de jefatura del mes de agosto  y reestructuración del mismo departamento, no se pudo lograr realizar  a partir del mes de diciembre se realizo un alance con el vice ministerio de justicia y paz para realizar en coordinación  el plan ya planificado, el cual el compañero Hans bolaños y Nury Camacho están trabajando con el mencionado proyecto. </t>
  </si>
  <si>
    <t>LP 4.3.2. Un estudio que identifique las zonas de mayor incidencia delictiva para cada unos de los distritos a diciembre de 2012.</t>
  </si>
  <si>
    <t xml:space="preserve">4.3.2.Estudio que identifique las zonas de mayor incidencia delictiva para cada unos de los distritos </t>
  </si>
  <si>
    <t>4.3.2.1. Realizar un estudio que identifique las zonas de mayor incidencia delictiva para cada unos de los distritos a diciembre de 2012.</t>
  </si>
  <si>
    <t>No se realizó el estudio debido a que se cuenta con el estudio que remite el OIJ y con el fin de no dupliar esfuerzo se trabaja con esa información. Se indica como cumplida debido a que  la información existe lo que vario fue quien la ejecutó</t>
  </si>
  <si>
    <t>LP 4.3.3. Un plan de comunicación y educación a la población para la aplicación de la política de seguridad cantonal implementada a partir de junio 2014.</t>
  </si>
  <si>
    <t xml:space="preserve">4.3.3. Plan de comunicación y educación a la población para la aplicación de la política de seguridad cantonal </t>
  </si>
  <si>
    <t>4.3.3.1.Realizar un plan de comunicación y educación a la población para la aplicación de la política de seguridad cantonal</t>
  </si>
  <si>
    <t>Plan realizado</t>
  </si>
  <si>
    <t>Realizar  el plan de  comunicación y educación  para la aplicación de la politica de seguridad cantonal</t>
  </si>
  <si>
    <t>Se reprogramó la meta</t>
  </si>
  <si>
    <t>4.3.3.2.Implementación del 33% delplan de comunicación y educación a la población para la aplicación de la política de seguridad cantonal .</t>
  </si>
  <si>
    <t>Implementación del 33% delplan de comunicación y educación a la población por medio de la realización de 8 charlas</t>
  </si>
  <si>
    <t>Implementación del 33% delplan de comunicación y educación a la población para la aplicación de la política de seguridad cantonal .</t>
  </si>
  <si>
    <t>LP 4.4. Ampliar la cobertura del sistema de vigilancia ciudadana.</t>
  </si>
  <si>
    <t>LP 4.4.1. Un plan integral de infraestructura en materia de seguridad, formulado y aprobado por las entidades relacionadas a junio 2014.</t>
  </si>
  <si>
    <t>4.4. Ampliar la cobertura del sistema de vigilancia ciudadana.</t>
  </si>
  <si>
    <t>4.4.1. Plan integral de infraestructura en materia de seguridad</t>
  </si>
  <si>
    <t>4.4.1.1.Formular un plan integral de infraestructura en materia de seguridad</t>
  </si>
  <si>
    <t xml:space="preserve">Plan formulado y aprobado </t>
  </si>
  <si>
    <t>LP 4.1.6. Al menos 20  cámaras de seguridad instaladas y distribuidas en las zonas de mayor incidencia delictiva, por semestre a partir de enero de 2014, hasta 2017. (A partir de constituida la Empresa Seguridad Digital)</t>
  </si>
  <si>
    <t>4.1.6. Instalación de cámaras de seguridad, acode al desarrollo del proyecto de "Seguridad Herediana Digital".</t>
  </si>
  <si>
    <t>4.1.6.1.Coordinar con la Alcaldía la implementación paulatina de cámaras de seguridad en todo el cantón.</t>
  </si>
  <si>
    <t>Porcentaje de coordinación realizada</t>
  </si>
  <si>
    <t>Poder Judicial, Fuerza Pública, ESPH</t>
  </si>
  <si>
    <t xml:space="preserve">Mayor control </t>
  </si>
  <si>
    <t>Coordinar con la Alcaldía la implementación paulatina de cámaras de seguridad en todo el cantón.</t>
  </si>
  <si>
    <t>LP 4.4.2.  Al menos el 25% de los policías municipales fortalecen su capacidad técnica y operativa por medio de capacitaciones especializadas, semestralmente a partir de enero de 2013.</t>
  </si>
  <si>
    <t>4.4.2. Fortalecer las capacidades técnicas y operativas de los policías municipales</t>
  </si>
  <si>
    <t>4.4.2.1. Coordinar  capacitaciones que fortalezcan la capacidad técnica y operativa de los Policías por  semestralmente a partir de enero de 2013.</t>
  </si>
  <si>
    <t>Capacitaciones coordinadas</t>
  </si>
  <si>
    <t>Realizar 4 capacitaciones anuales  para los funcionarios de la Policía Municipal</t>
  </si>
  <si>
    <t>Realizar al menos 2 capacitaciones por semestres  que fortalezcan la capacidad técnica y operativa de los Policías por  semestralmente a partir de enero de 2013.</t>
  </si>
  <si>
    <t xml:space="preserve">Coordinar  cuatro  capacitaciones que fortalezcan la capacidad técnica y operativa de los Policías </t>
  </si>
  <si>
    <t>Coordinar cuatro  capacitaciones que fortalezcan la capacidad técnica y operativa de los Policías por  semestralmente</t>
  </si>
  <si>
    <t>LP 4.5.  Formular e impulsar un programa de atención integral para el combate a las adicciones y el rescate  social de personas en condición de indigencia y con problemas de adicción.</t>
  </si>
  <si>
    <t>LP 4.5.1.  Un plan integral en materia de atención a las adicciones y prevención social,  formulado y aprobado por las entidades relacionadas a diciembre de 2014 e implementado a partir de enero de 2015.</t>
  </si>
  <si>
    <t>Vice-alcaldía (Coordinación) la Policía Municipal</t>
  </si>
  <si>
    <t>4.5. Formular e impulsar un programa de atención integral para el combate a las adicciones y el rescate  social de personas en condición de indigencia y con problemas de adicción.</t>
  </si>
  <si>
    <t>4.5.1.Plan integral en materia de atención a las adicciones y prevención social</t>
  </si>
  <si>
    <t>4.5.1.1.Formular  un  plan integral en materia de atención a las adicciones y prevención social</t>
  </si>
  <si>
    <t>Plan formualdo y aprobado</t>
  </si>
  <si>
    <t>Fuerza Pública, Ministerio de Salud, CCSS, IAFA,ONG, IMA</t>
  </si>
  <si>
    <t>Coordinar con la Vice Alcaldía la Formulación de   un  plan integral en materia de atención a las adicciones y prevención social</t>
  </si>
  <si>
    <t>Se realizó la coordinación está en proceso la formulación plan</t>
  </si>
  <si>
    <t>4.5.1.2. Implementación del 26%  del  plan integral en materia de atención a las adicciones y prevención social</t>
  </si>
  <si>
    <t>Implementación del 26%  del  plan integral en materia de atención a las adicciones y prevención social en coordinación con la Vice Alcaldía</t>
  </si>
  <si>
    <t>Implementación del 26%  del  plan integral en materia de atención a las adicciones y prevención social</t>
  </si>
  <si>
    <t xml:space="preserve"> Un Centro de Desintoxicación construido e implementado a partir del enero de 2018.</t>
  </si>
  <si>
    <t>Un albergue para la atención de personas en estado de indigencia construido e implementado a diciembre de 2019.</t>
  </si>
  <si>
    <t>Esta meta no se ha podido implementar debido a que no se ha formulado el Plan, la Vice Alcaldía  ha colaborado con el IAFA de acuerdo al plan que tienen ellos</t>
  </si>
  <si>
    <t>AREA ESTRATEGICA: SEREVICIOS PUBLICOS</t>
  </si>
  <si>
    <t>SERVICIOS PUBLICOS</t>
  </si>
  <si>
    <t>5.1. Programa del Servicios de  Limpieza de vías, parques y recolección de basura</t>
  </si>
  <si>
    <t>Brindar el servicio de limpieza de vías, parques y recolección de basura en el  Cantón Central de Heredia</t>
  </si>
  <si>
    <t>5.1.1. Organizar la limpieza de caños, cunetas , alcantarillados,parques y recolección basura.</t>
  </si>
  <si>
    <t>5.1.1.1.Limpieza del 100%  de vías del Distrito Central</t>
  </si>
  <si>
    <t>Porcentaje del Servicio brindado</t>
  </si>
  <si>
    <t>Depto. Aseo de Vías</t>
  </si>
  <si>
    <t xml:space="preserve">Contar con un Cantón limpio </t>
  </si>
  <si>
    <t>Limpieza del 100%  de vías del Distrito Central</t>
  </si>
  <si>
    <t xml:space="preserve"> Limpieza  del 100% de  las vías del  Distrito  Central </t>
  </si>
  <si>
    <t>Limpieza de vias y   parques   del Cantón Central de Heredia</t>
  </si>
  <si>
    <t>Limpieza de Vias y parques  del Canton Central de Heredia</t>
  </si>
  <si>
    <t>Limpieza de 182773 metros de Vías y cordones de caño de los distritros centrales del Cantón de Heredia.</t>
  </si>
  <si>
    <t>5.1.1.2. Limpieza de  parques   del Cantón Central de Heredia</t>
  </si>
  <si>
    <t>Porcentaje de parques limpios</t>
  </si>
  <si>
    <t>Realizar la Limpieza de  parques   del Cantón Central de Heredia</t>
  </si>
  <si>
    <t xml:space="preserve"> Limpieza de  parques   del Cantón Central de Heredia</t>
  </si>
  <si>
    <t xml:space="preserve"> Mantenimiento de  parques y otras áreas publicas   del Cantón Central de Heredia</t>
  </si>
  <si>
    <t>Mantenimiento de Parques y  otras areas publicas del Canton Central de Heredia.</t>
  </si>
  <si>
    <t>Mantenimiento del 100% de Parques de los Distritos Centrales y otras área pública del Cantón Central de Heredia</t>
  </si>
  <si>
    <t>5.1.1.3. Brindar el servicio de recolección de basura al 100% de los contribuyentes del Cantón Central de Heredia.</t>
  </si>
  <si>
    <t>Brindar el servicio de recolección de basura al 100% de los contribuyentes del Cantón Central de Heredia.</t>
  </si>
  <si>
    <t>Realizar al menos 12 inspecciones mensuales en el servicio de Recolección y Transporte de Residuos Sólidos
Realizar al menos 8 inspecciones mensuales en el servicio de disposición final de Residuos SólidosAl menos 1200 panfletos educativos distribuidos al año sobre manejo de residuos sólidos.</t>
  </si>
  <si>
    <t>Brindar el Servicio de Recolección de Basura</t>
  </si>
  <si>
    <t>Brindar el Servicio de Recolección de residuos ordinarios y residuos no tradicionales (de manejo especial)</t>
  </si>
  <si>
    <t>5.1.1.4.Realizar el mantenimiento y jardinería en las áreas verdes</t>
  </si>
  <si>
    <t>Realizar el mantenimiento y jardinería en las áreas verdes en varios lugares del Cantón Central de Heredia</t>
  </si>
  <si>
    <t>Realizar el mantenimiento y jardinería en las áreas verdes</t>
  </si>
  <si>
    <t>Realizar el mantenimiento y de la  jardinería de  las áreas verdes.</t>
  </si>
  <si>
    <t>Realizar el mantenimiento y de la Jardineria de las areas verdes.</t>
  </si>
  <si>
    <t>Realizar el mantenimiento de  la jardinería de la áreas verdes.</t>
  </si>
  <si>
    <t>5.2. Programa del Servicio de Cementerio</t>
  </si>
  <si>
    <t>Contar con expedientes digitalizados para poder ubicar a todos los propietarios y uso de los derechos</t>
  </si>
  <si>
    <t>5.2.1.Digitalización e identificación de derechos</t>
  </si>
  <si>
    <t>5.2.1.1.Realizar el levantamiento físico de los expedientes y derechos en campo</t>
  </si>
  <si>
    <t>Levantamiento realizado</t>
  </si>
  <si>
    <t>Administrador Cementerio</t>
  </si>
  <si>
    <t>Contar con información actualizada y digitalizada de los propietarios  y usos de los derechos</t>
  </si>
  <si>
    <t>Realizar el levantamiento físico de los expedientes y derechos en campo</t>
  </si>
  <si>
    <t>Este proceso es lento ya que se requiere de la coordinación con el Depto. Rentas y Cobranzas</t>
  </si>
  <si>
    <t>Se estima que esta labor se concluirá IV T. AC-0049-2013</t>
  </si>
  <si>
    <t>Iniciar con proyecto de georeferenciación de  aproximadamente 3600 derechos del Cementerio Central</t>
  </si>
  <si>
    <t>5.2.1.2.Realizar un proceso de digitalización de todos los expedientes de propietarios y usos de los derechos.</t>
  </si>
  <si>
    <t>Porcentaje del proceso de digitalización realizado</t>
  </si>
  <si>
    <t>Realizar el levantamiento físico de 1500 expedientes y derechos en campo</t>
  </si>
  <si>
    <t>Iniciar con proyecto de georeferenciación  derechos del Cementerio Central</t>
  </si>
  <si>
    <t>Cumplimiento 100%, se georefenció 1900 derechos</t>
  </si>
  <si>
    <t>5.2.2.Rotulación Accesible para los Cementerios del Cantón</t>
  </si>
  <si>
    <t>5.2.2.1. Realizar la rotulación en los Cementerio  accesible a todos los usuarios.</t>
  </si>
  <si>
    <t>Tener rotulación accesible para todos los usuarios del Cementerio Central.</t>
  </si>
  <si>
    <t>Ya está concluído</t>
  </si>
  <si>
    <t>SE INCLUYÓ POA 2016</t>
  </si>
  <si>
    <t>AREA ESTRATEGICA: DESARROLLO ECONOMICO SOSTENIBLE</t>
  </si>
  <si>
    <t>RESULTADO ESPERADO</t>
  </si>
  <si>
    <t>Propiciar el desarrollo económico local en los distritos del Cantón Primero de Heredia</t>
  </si>
  <si>
    <t>LP 6.1. a LP 6.3  Fortalecer  las  capacidades de  las personas, las posibilidades de la pequeña y mediana empresa y las atracciones turísticas.</t>
  </si>
  <si>
    <t>LP 6.1.1. a LP 6.1.4. Realizar al  menos realizar cuatro proyectos que amplien las posibiliades laborales y creen mecanismos que faciliten la creación de pequeñas y medianas empresas</t>
  </si>
  <si>
    <t>Alcaldía, RRHH, OFIM</t>
  </si>
  <si>
    <t>DESARROLLO ECONOMICO SOSTENIBLE</t>
  </si>
  <si>
    <t>6.1. Programa de capacitación continua y generación de empleo para la creación de pequeñas y medianas empresas</t>
  </si>
  <si>
    <t>Ampliar las posibilidades laborales  mediante  capacitaciones que respondan a la demanda real del mercado y creación de mecanismos que faciliten la creación de pequeñas y medianas empresas.</t>
  </si>
  <si>
    <t>6.1.1. Proyecto de  capacitación continúa para la generación de empleo y creación de pequeñas y medianas empresas.</t>
  </si>
  <si>
    <t>6.1.1.1. Realizar 2 capacitaciones anuales de acuerdo a las necesidades laborales del cantón</t>
  </si>
  <si>
    <r>
      <t>Alcaldía, Presupuesto, Dirección Finanaciera-Adminitrativa. Comunicación y prensa,  INA, UNA, UCR.</t>
    </r>
    <r>
      <rPr>
        <sz val="11"/>
        <rFont val="Calibri"/>
        <family val="2"/>
      </rPr>
      <t xml:space="preserve"> Recursos Humanos</t>
    </r>
  </si>
  <si>
    <t>INA</t>
  </si>
  <si>
    <t>Ofrecer herramientas que faciliten la inserción laboral.</t>
  </si>
  <si>
    <t>Realizar 2 capacitaciones anuales  de acuerdo  a las necesidades laborales del Cantón. (6.1.1.1)</t>
  </si>
  <si>
    <t>Realizar dos capacitaciones anuales de acuerdo a las necesidades del cantón.</t>
  </si>
  <si>
    <t>Realizar 4 capacitaciones anuales de acuerdo a las necesidades del cantón.</t>
  </si>
  <si>
    <t>Realizar 2 capacitaciones anuales de acuerdo a las necesidades laborales del cantón</t>
  </si>
  <si>
    <t>6.1.1.2. Realizar una capacitación  anual sobre la creación de pequeñas y medianas empresas</t>
  </si>
  <si>
    <r>
      <t>Alcaldía, Presupuesto, Dirección Financiera-Administrativa. Comunicación y prensa,  INA, UNA, UCR. Empresas privadas.</t>
    </r>
    <r>
      <rPr>
        <sz val="11"/>
        <rFont val="Calibri"/>
        <family val="2"/>
      </rPr>
      <t xml:space="preserve"> Recursos Humanos</t>
    </r>
  </si>
  <si>
    <t>Promover la empresa privada y generar fuente de empleo</t>
  </si>
  <si>
    <t>Realizar 1 capacitación anual en materia de empresarialidad. (6.1.1.2)</t>
  </si>
  <si>
    <t xml:space="preserve">Realizar 1 capacitación anual en materia de empresarialidad. </t>
  </si>
  <si>
    <t>Realizar una capacitación  anual sobre la creación de pequeñas y medianas empresas</t>
  </si>
  <si>
    <t>6.1.2.Crear un Mercado Local de Mujeres Emprendedoras</t>
  </si>
  <si>
    <t>6.1.2.1.Generar condiciones de negociación con entidades participantes (Mujeres empresarias organizadas, sector privado)</t>
  </si>
  <si>
    <t>Documento con normativa de funcionamiento y estudio de factibilidad</t>
  </si>
  <si>
    <t>Alcaldía, UAEG, Programa de Intermediación Laboral</t>
  </si>
  <si>
    <t>ONG y Empresa Privada</t>
  </si>
  <si>
    <t>Se cuenta con las condiciones necesarias que garanticen el funcionamiento óptimo del primer Mercado de Mujeres Emprendedoras</t>
  </si>
  <si>
    <t>Realizar 1 capacitación anual en materia de empresarialidad. (6.1.1.2)         Realizar un estudio de factibilidad que oriente el desarrollo del proyecto "Mercado Local de Mujeres Emprendedoras".</t>
  </si>
  <si>
    <t>6.1.2.2.Apertura de Feria de Mujeres Emprendedoras</t>
  </si>
  <si>
    <t>Espacio para realizar Feria de Mujeres empresarias equipado y funcionando de manera permanente.</t>
  </si>
  <si>
    <t>La Municipalidad de Heredia se posiciona como el primer Gobierno Local que inaugura el “Mercado de Mujeres Emprendedoras”.</t>
  </si>
  <si>
    <t>Realizar feria para impulsar el emprendedurismo</t>
  </si>
  <si>
    <t>6.1.3.Crear un Fondo “Rotatorio de Préstamos”  para el financiamiento de emprendimiento productivos</t>
  </si>
  <si>
    <t>6.1.3.1.Revisar el marco legal para la creación de un “Fondo Rotatorio de Préstamos para Mujeres Emprendedoras en condición de vulnerabilidad social”</t>
  </si>
  <si>
    <t>Informe de estudio de factibilidad</t>
  </si>
  <si>
    <t>Alcaldía, UAEG, Programa de Intermediación laboral, Dirección Jurídica</t>
  </si>
  <si>
    <t>Interno</t>
  </si>
  <si>
    <t>El Cantón Central de Heredia cuenta con un fondo “rotatorio” de préstamos para el financiamiento de micro emprendimientos de mujeres y personas en condiciones de desventaja social.</t>
  </si>
  <si>
    <t>Solicitar a la Dirección de Asuntos Jurídicos de la Municipalidad un criterio técnico sobre la viabilidad jurídica del proyecto "Fondo rotatorio de préstamos".</t>
  </si>
  <si>
    <t>6.1.3.2.Gestión de fondos para implementar el proyecto. (Cooperación Internacional, Empresa Privada).</t>
  </si>
  <si>
    <t>Fondos</t>
  </si>
  <si>
    <t>Alcaldía, Comisión de la Condición de la Mujer</t>
  </si>
  <si>
    <t>Empresa Privada (Cámara de Comercio), Instituciones del Estado</t>
  </si>
  <si>
    <t>El criterio de la Asesoría Legal es que "El proyecto debe replantearse debido al alto riesgo que constituye para la institución. De igual manera se reitera que el municipio está facultado legalmente para promover alianzas con entidades estatales y privadas, entre ellos banco s que poseen amplia experiencia y capital para financiar a la pequeña y mediana industria. Partiendo de lo anterior, se recomienda explorar otros escenarios a través d elos cuales el municipio pueda coadyuvar con estos grupos sociales sin exponer las finanzas municipales".  DAJ-439-2012 del 18 de mayo de 2012.,Lla oficina ha coordinado recientemente con el INAMU en el acceso al Fondo Mujer, (FOMUJER) un fondo no reembolsable que se puede concursar para el financiamiento de ideas de negocios de las mujeres e iniciará funcionamiento en 2014</t>
  </si>
  <si>
    <t>6.1.4.Fortalecer el desarrollo económico local por medio del impulso de micro emprendimientos realizados por mujeres y personas en condiciones de mayor vulnerabilidad social.</t>
  </si>
  <si>
    <t>6.1.4.1.Realizar un diagnóstico cantonal con el fin de que se identifiquen posibles nichos de mercado en el  Cantón para orientar los micro emprendimientos</t>
  </si>
  <si>
    <t>Informe de Estudio de Mercado</t>
  </si>
  <si>
    <t>Programa de Intermediación Laboral, UAEG</t>
  </si>
  <si>
    <t>La Municipalidad cuenta con un estudio sobre los principales nichos de mercado hacia dónde pueda orientar los micro emprendimientos de mujeres y personas en condiciones de desventaja social.</t>
  </si>
  <si>
    <t xml:space="preserve">Ejecutar un estudio de mercado que permita orientar ideas de negocios para que se impulsen encadenamientos productivos. </t>
  </si>
  <si>
    <t xml:space="preserve">6.1.4.2.Implementar un Programa con enfoque de género para la Atención Integral de Personas Emprendedoras del Cantón que integre mecanismos de identificación y seguimiento para la creación de pequeñas empresas </t>
  </si>
  <si>
    <t>Documento de Programa con enfoque de género para la  Atención Integral de Personas Emprendedoras del Cantón</t>
  </si>
  <si>
    <t>Ministerio de Economía, Industria y Comercio (MEIC), Instituto Nacional de Aprendizaje (INA)</t>
  </si>
  <si>
    <t>La Municipalidad de Heredia cuenta con un programa permanente de apoyo a los emprendimientos del cantón que integra mecanismos para la identificación, capacitación y seguimiento de iniciativas productivas</t>
  </si>
  <si>
    <t>Si, se contrató al programa &amp;#147;Germinadora&amp;#148; de la Universidad Nacional, el proyecto será desarrollado entre los meses de febrero a junio 2014.</t>
  </si>
  <si>
    <t>Implementar un Programa con enfoque de género para la Atención Integral de Personas Emprendedoras del Cantón que integre mecanismos de identificación y seguimiento para la creación de pequeñas empresas</t>
  </si>
  <si>
    <t xml:space="preserve">Dar seguimiento al  Programa con enfoque de género para la Atención Integral de Personas Emprendedoras del Cantón .
Implementar un Programa con enfoque de género para la Atención Integral de Personas Emprendedoras del Cantón que integre mecanismos de identificación y seguimiento para la creación de pequeñas empresas </t>
  </si>
  <si>
    <t>LP 6.2.1 a LP 6.2.2. Coordinar al menos una vez al año el proceso de Presupuesto Participativo</t>
  </si>
  <si>
    <t>Planificación, Alcaldía, OFIM</t>
  </si>
  <si>
    <t>6.2. Programa de Presupuesto Participativo</t>
  </si>
  <si>
    <t>Fomentar la participación de la comunidad en la asignación de recursos</t>
  </si>
  <si>
    <t>6.2.1.Presupuesto Participativo con perspectiva de género</t>
  </si>
  <si>
    <t>6.2.1.1.Coordinar cada año el proceso de Presupuesto Participativo</t>
  </si>
  <si>
    <t>Proceso coordinado</t>
  </si>
  <si>
    <t xml:space="preserve">Planificación, Alcaldía </t>
  </si>
  <si>
    <t>Concejo Municipal, Concejos de Distrito, Organizaciones Comunales</t>
  </si>
  <si>
    <t>Mayor participación de la comunidad en la toma de decisiones del Gobierno Local.</t>
  </si>
  <si>
    <t>Coordinar  el proceso de Presupuesto Participativo para la asignación de recursos para el año 2014</t>
  </si>
  <si>
    <t>Coordinar  el proceso de Presupuesto Participativo para la asignación de recursos para el año 2015</t>
  </si>
  <si>
    <t>Coordinar  el proceso de Presupuesto Participativo para la asignación de recursos para el año 2016</t>
  </si>
  <si>
    <t>Coordinar  el proceso de Presupuesto Participativo para la asignación de recursos para el año 2017</t>
  </si>
  <si>
    <t>6.2.2.Fortalecer las acciones implementadas en el Programa de Presupuestos Participativos</t>
  </si>
  <si>
    <t xml:space="preserve">6.2.2.1.Capacitación de las Asociaciones de Desarrollo y Concejos de Distrito en temas de elaboración de proyectos con perspectiva de género. </t>
  </si>
  <si>
    <t>UAEG, Unidad de Planificación Institucional</t>
  </si>
  <si>
    <t>Se cuentan con procesos de presupuestos participativos desde la equidad de género, contribuyendo a disminuir las brechas de género.</t>
  </si>
  <si>
    <t xml:space="preserve">Desarrollar un taller de sensibilización y capacitación para la elaboración de proyectos con enfoque de género, derechos humanos y accesibilidad universal.              -Coordinar  el proceso de Presupuesto Participativo para la asignación de recursos para el año 2013               -Coordinar con la Oficina de la Mujer una capacitación de las Asociaciones de Desarrollo y Concejos de Distrito en temas de elaboración de proyectos con perspectiva de género. </t>
  </si>
  <si>
    <t xml:space="preserve">Coordinar con la Oficina de la Mujer una capacitación de las Asociaciones de Desarrollo y Concejos de Distrito en temas de elaboración de proyectos con perspectiva de género. </t>
  </si>
  <si>
    <t>Coordinar con la Oficina de la Mujer una capacitación de las Asociaciones de Desarrollo y Concejos de Distrito en temas de elaboración de proyectos con perspectiva de género. 
Realizar una capacitación de las Asociaciones de Desarrollo y Concejos de Distrito en temas de elaboración de proyectos con perspectiva de género.</t>
  </si>
  <si>
    <t>Coordinar con la Oficina de la Mujer una capacitación de las Asociaciones de Desarrollo y Concejos de Distrito en temas de elaboración de proyectos con perspectiva de género. (Planificación)
Realizar una capacitación de las Asociaciones de Desarrollo y Concejos de Distrito en temas de elaboración de proyectos con perspectiva de género.(Igualdad y Equidad)</t>
  </si>
  <si>
    <t>Realizar una capacitación de las Asociaciones de Desarrollo y Concejos de Distrito en temas de elaboración de proyectos con perspectiva de género.</t>
  </si>
  <si>
    <t>LP 6.3.1. a LP 6.3.2. Realizar al menos dos actividades anuales que promuevan  la actividad turística, ecológica, artesanal y cultural</t>
  </si>
  <si>
    <t>Vice-alcaldía</t>
  </si>
  <si>
    <t>6.3.Programa de desarrollo económico por medio de la actividad turística ecológica y artesanal</t>
  </si>
  <si>
    <t>Generar un desarrollo económico ambientalmente sostenible promocionado los atractivos  turísticos del cantón por medio de la actividad turística, ecológica y artesanal</t>
  </si>
  <si>
    <t>6.3.1. Modernización y Accesibilidad del Complejo Turístico Las Chorreras</t>
  </si>
  <si>
    <t>6.3.1.1.Realizar el diseño del Complejo Turístico Las Chorreras para Modernizarlo y hacerlo accesible.</t>
  </si>
  <si>
    <t>Diseño realizado</t>
  </si>
  <si>
    <t>Ofrecer espacios de recreación modernos y accesibles con el fin de  fortalecer el turismo en el cantón.</t>
  </si>
  <si>
    <t>Realizar los estudios de prefactibilidad y factibilidad, el diseño y Construcción de la primera Etapa del Proyecto "Complejo Turístico  las Chorreras"</t>
  </si>
  <si>
    <t>6.3.1.2. Implementar el proyecto de Modernización y Accesibilidad del Complejo Turístico Las Chorreras</t>
  </si>
  <si>
    <t>Porcentaje de implementación realizado</t>
  </si>
  <si>
    <t>Mejoras en la infraestructura del complejo turistico.</t>
  </si>
  <si>
    <t>100%, se conluyó lo programado 2014</t>
  </si>
  <si>
    <t>6.3.2. Promover la actividad turística, ecológica , artesanal y cultural</t>
  </si>
  <si>
    <t>6.3.2.1.Realizar al menos dos actividades anuales que promuevan  la actividad turística, ecológica, artesanal y cultural</t>
  </si>
  <si>
    <t>Actividades realizadas</t>
  </si>
  <si>
    <t>Alcaldía Municipal</t>
  </si>
  <si>
    <t>Comisión de Turismo</t>
  </si>
  <si>
    <t>Dar honor al nombre de la provincia y fortalecer el turismo en el cantón.</t>
  </si>
  <si>
    <t>Realizar 4 actividades</t>
  </si>
  <si>
    <t>Realizar 34 actividades anuales que promuevan  la actividad turística, ecológica, artesanal y cultural</t>
  </si>
  <si>
    <t>Realizar  el 100% de las  actividades culturales programadas para el año 2014 con el fin de promover  la actividad turística, ecológica, artesanal y cultural del cantón</t>
  </si>
  <si>
    <t>Actividades Area Cultural</t>
  </si>
  <si>
    <t xml:space="preserve">6.3.2.2. Concluir la formulación de una Política Municipal en materia de Turismo </t>
  </si>
  <si>
    <t>Está a cargo de la Comisión Turiso</t>
  </si>
  <si>
    <t xml:space="preserve">6.3.2.3. Implementar la  Política Municipal en materia de Turismo </t>
  </si>
  <si>
    <t>Se han realizado varias acciones a cargo de la Comisión de Turismo</t>
  </si>
  <si>
    <t>No e ha formulado una politica de turismo, se han realizado acciones aisladas</t>
  </si>
  <si>
    <t>LP 6.4.  Promover la creación de polos de desarrollo cantonal.</t>
  </si>
  <si>
    <t>LP 6.4.1.1.  a LP 6.4.1.2. Una estrategia para la promoción de un polo de desarrollo diseñada a diciembre de 2013 y en implementación a partir de enero 2014.</t>
  </si>
  <si>
    <t>Alcaldía,  RRHH</t>
  </si>
  <si>
    <t>6.4. Promover la creación de polos de desarrollo cantonal.</t>
  </si>
  <si>
    <t xml:space="preserve">6.4.1. Promoción de un polo de desarrollo </t>
  </si>
  <si>
    <t xml:space="preserve">6.4.1.1. Diseñar una estrategia para la promoción de un polo de desarrollo </t>
  </si>
  <si>
    <t>Estrategia diseñada</t>
  </si>
  <si>
    <t>ESPH, MEIC, ICE, AYA, CAMARAS EMPRESARIALES, BANCA ESTATAL, ONG.</t>
  </si>
  <si>
    <t>Alcanzar el Desarrollo económico local con altos índices socioeconómicos.</t>
  </si>
  <si>
    <t xml:space="preserve">Crear un estrategia para la promoción de un polo de desarrollo </t>
  </si>
  <si>
    <t>De acuerdo a lo que indica el Jefe de RH en ofiico TH-15-2014, esta meta está en proceso , se coordinará con distitnas áreas d la institución para desarrollar la estrategia y la alianza.</t>
  </si>
  <si>
    <t xml:space="preserve">Según oficio TH-122-2014 estás metas ya fueron cumplidas </t>
  </si>
  <si>
    <t>6.4.1.2. Implementar   del  27% una estrategia para la promoción de un polo de desarrollo .</t>
  </si>
  <si>
    <t xml:space="preserve">6.4.1.2. Implementar   del  27% una estrategia para la promoción de un polo de desarrollo </t>
  </si>
  <si>
    <t>Según oficio TH-122-2014 las metas 2013 fueron cumplidas</t>
  </si>
  <si>
    <t>LP 6.4.1.3.  Una alianza con al menos una institución pública y una cámara empresarial para la promoción de un polo de desarrollo lograda a  diciembre 2013.</t>
  </si>
  <si>
    <t>6.4.1.3. Gestionar una alianza con al menos una institución pública y una cámara empresarial para la promoción de un polo de desarrollo.</t>
  </si>
  <si>
    <t>Alianza gestionada</t>
  </si>
  <si>
    <t xml:space="preserve">Realizar una alianza con al menos una institución pública y una cámara empresarial para la promoción de un polo de desarrollo </t>
  </si>
  <si>
    <t>LP 6.4.1.4.  Al menos una acción de promoción para la creación de un polo de desarrollo ejecutada anualmente a partir de enero de 2014</t>
  </si>
  <si>
    <t>6.4.1.4. Al menos una acción de promoción para la creación de un polo de desarrollo ejecutada anualmente a partir de enero de 2014</t>
  </si>
  <si>
    <t>LP 6.5.  Formular y gestionar un programa de impulso del emprendedurismo local</t>
  </si>
  <si>
    <t>LP 6.5.1.1. a LP 6.5.1.2. Un programa de impulso al emprendedurismo local formulado y aprobado a diciembre del 2013 y en implementación de enero 2014 a diciembre 2022.</t>
  </si>
  <si>
    <t>Alcaldía (Coordinación), Dirección de Servicios y Gestión de Ingresos, RHH</t>
  </si>
  <si>
    <t>6.5. Formular y gestionar un programa de impulso del emprendedurismo local</t>
  </si>
  <si>
    <t xml:space="preserve">6.5.1. Programa de impulso al emprendedurismo local </t>
  </si>
  <si>
    <t xml:space="preserve">6.5.1.1. Formular un programa de impulso al emprendedurismo local </t>
  </si>
  <si>
    <t>MEIC, CMARA DE COMERCIO, BANCA ESTATAL, SBD, ONGS, IMAS COMITÉ DISTRITAL</t>
  </si>
  <si>
    <t>Un programa de impulso al emprendedurismo local formulado y aprobado a diciembre del 2013 y en implementación de enero 2014 a diciembre 2022.</t>
  </si>
  <si>
    <t>6.5.1.2. Implementación del 33%  programa de impulso al emprendedurismo local (ELIMINADA)</t>
  </si>
  <si>
    <t xml:space="preserve">Implememtar el programa de impulso al emprendedurismo local </t>
  </si>
  <si>
    <t>Realizar 2 feria para impulsar el emprendedurismo</t>
  </si>
  <si>
    <t>LP 6.5.1.3.  Una alianza público privada constituida para liderar un programa de impulso de emprendedurismo local a junio 2015.</t>
  </si>
  <si>
    <t>6.5.1.3. Una alianza público privada constituida para liderar un programa de impulso de emprendedurismo local a junio 2014.</t>
  </si>
  <si>
    <t>Alianza constituída</t>
  </si>
  <si>
    <t>Una alianza público privada constituida para liderar un programa de impulso de emprendedurismo local a junio 2014.</t>
  </si>
  <si>
    <t>SE REPROGRAMO</t>
  </si>
  <si>
    <t>SE REPROGRAMO 2015</t>
  </si>
  <si>
    <t>Gestionar una alianza publico privada para propiciar y promover el fortalecimiento del enprendedurismo local</t>
  </si>
  <si>
    <t>LP 6.5.1.4. Al menos una gestión  de recursos no reembolsables para apoyar un programa de impulso de emprendedurismo local realizada en 2012.</t>
  </si>
  <si>
    <r>
      <t>6.5.1 4  Al menos una gestión anual de recursos no reembolsables para apoyar un programa de impulso de emprendedurismo local realizada el  2012.(</t>
    </r>
    <r>
      <rPr>
        <sz val="11"/>
        <rFont val="Calibri"/>
        <family val="2"/>
        <scheme val="minor"/>
      </rPr>
      <t xml:space="preserve"> Esta meta se elimina a partir del 2013)</t>
    </r>
  </si>
  <si>
    <t>Gestión realizada</t>
  </si>
  <si>
    <t>Al menos una gestión anual de recursos no reembolsables para apoyar un programa de impulso de emprendedurismo local realizada a partir de enero 2012.</t>
  </si>
  <si>
    <t>ELIMINADA</t>
  </si>
  <si>
    <t>PROCESO ELIMINACIÓN PLAN</t>
  </si>
  <si>
    <t>LP 6.5.2.1. a LP 6.5.2.2. Un programa de fortalecimiento del Campo Ferial en Mercedes Norte, dirigido al desarrollo de capacidades del "Mercado de personas emprendedoras" formulado a diciembre 2016 y en implementación a partir de enero del 2017.</t>
  </si>
  <si>
    <t>6.5.2. Programa de fortalecimiento del Campo Ferial en Mercedes Norte.</t>
  </si>
  <si>
    <t xml:space="preserve">6.5.2.1. Formular un programa de fortalecimiento del Campo Ferial en Mercedes Norte, dirigido al desarrollo de capacidades del "Mercado de personas emprendedoras" formulado a diciembre 2013 </t>
  </si>
  <si>
    <t>Programa formulado  y aprobado</t>
  </si>
  <si>
    <t>Un programa de fortalecimiento del Campo Ferial en Mercedes Norte, dirigido al desarrollo de capacidades del "Mercado de personas emprendedoras" formulado a diciembre 2013 y en implementación a partir de enero del 2014.</t>
  </si>
  <si>
    <r>
      <t>6.5.2.2.Implementación del 33% del  programa de fortalecimiento del Campo Ferial en Mercedes Norte</t>
    </r>
    <r>
      <rPr>
        <sz val="11"/>
        <rFont val="Calibri"/>
        <family val="2"/>
        <scheme val="minor"/>
      </rPr>
      <t>(Se elimina)</t>
    </r>
  </si>
  <si>
    <t>Implemetación realizada</t>
  </si>
  <si>
    <t>LP 6.6.  Impulsar la reactivación de los sectores dinámicos del aparato económico local.</t>
  </si>
  <si>
    <t>LP 6.6.1.1. Un plan de reactivación de sectores dinámicos del aparato económico local formulado y aprobado a diciembre del 2016, y en implementación a partir de enero de 2017 a diciembre 2022.</t>
  </si>
  <si>
    <t>Alcaldía (Coordinación), RRHH</t>
  </si>
  <si>
    <t>6.6. Impulsar la reactivación de los sectores dinámicos del aparato económico local.</t>
  </si>
  <si>
    <t>6.6.1. Plan de reactivación de sectores dinámicos del aparato económico local formulado y aprobado a diciembre del 2016</t>
  </si>
  <si>
    <t xml:space="preserve">6.6.1.1. Formualar un  plan de reactivación de sectores dinámicos del aparato económico local </t>
  </si>
  <si>
    <t>AREA ESTRATEGICA: DESARROLLO SOCIAL</t>
  </si>
  <si>
    <t>8. Fortalecer el  desarrollo social existente y ampliar las posibilidades de acceso a diversos ámbitos en pro del bienestar social de la ciudadanía, propiciando la equidad social , igualdad de oportunidades y equidad de género.</t>
  </si>
  <si>
    <t>LP 7.1.  Generar estrategias y propuestas acordes  a las necesidades específicas de poblaciones vulnerables.</t>
  </si>
  <si>
    <t>LP 7.1.1. a  LP 7.1.6. Realizar al menos seis proyectos que contribuyan a generar estrategias y propuestas acordes  a las necesidades específicas de poblaciones vulnerables.</t>
  </si>
  <si>
    <t xml:space="preserve">Unidad Administrativa que vela por Equidad de Género (UAEG) – Dirección de Asuntos Jurídicos, Unidad de presupuesto. </t>
  </si>
  <si>
    <t>DESARROLLO SOCIAL</t>
  </si>
  <si>
    <t>7.1. Programa de  Atención Integral de la población vulnerabilizada</t>
  </si>
  <si>
    <t>Generar estrategias y propuestas acordes  a las necesidades específicas de poblaciones vulnerables.</t>
  </si>
  <si>
    <t>7.1.1. Impulsar la creación de un Centro Infantil Municipal para el cuido de personas menores de edad de los 0 a los 12 años, con horario de funcionamiento 6 am a 6 pm.</t>
  </si>
  <si>
    <t xml:space="preserve">7.1.1.1.Generar condiciones de negociación con entidades participantes. </t>
  </si>
  <si>
    <t>Definida normativa de funcionamiento y plan de estudio, estudio de factibilidad</t>
  </si>
  <si>
    <t>MEP, Ministerio Salud, IMAS, otras</t>
  </si>
  <si>
    <t>Estudio de factibilidad que refleje las gestiones y coordinación entre las instituciones implicadas.</t>
  </si>
  <si>
    <t>Realizar un estudio de factibilidad que oriente el desarrollo del proyecto.</t>
  </si>
  <si>
    <t>7.1.1.2.Gestión de recursos humanos, materiales y económicos</t>
  </si>
  <si>
    <t>Fondos disponibles Y Equipado centro infantil de cuido.</t>
  </si>
  <si>
    <t>UAEG – Comisión Municipal de la Condición de la Mujer (CMCM) – Alcaldía.</t>
  </si>
  <si>
    <t>MEP, Cámara de Comercio (Empresa Privada en general)</t>
  </si>
  <si>
    <t>Centro Infantil con equipo necesario y los recursos suficientes para iniciar funcionamiento.</t>
  </si>
  <si>
    <t>Realizar las gestiones para complementar la gestión de recursos materiales y económicos para la apertura del Centro Infantil Municipal</t>
  </si>
  <si>
    <t>Gestión de recursos  humanos, materiales  economicos para el Centro Infantil Municipal (En el marco del CECUDI)</t>
  </si>
  <si>
    <t>Dentro de las metas programadas se encontraba la Gestión de recursos  humanos, materiales  económicos para el Centro Infantil Municipal, para su ejecución se  contactó la Secretaría Técnica de Red de Cuido, al señor Alexis Hernández quien indicó que debido a los antecedentes de nuestra Municipalidad, con respecto al proyecto de Red de cuido (fue rechazado el presupuesto asignado en virtud de estudio de factibilidad que señaló que no es sostenible y es muy riesgoso este programa) por lo que se deberá realizar una nueva coordinación -entre autoridades de alto nivel- el Alcalde con el Ministro de Bienestar Social con el fin de que a pesar de que anteriormente se renunció al proyecto, solicitar nuevamente se incluya a la Municipalidad, ya que a nivel técnico, esta Unidad y la Secretaría Técnica que tiene el proyecto no lo pueden gestionar por ser una decisión de las autoridades de Gobierno Central.</t>
  </si>
  <si>
    <t>7.1.1.3.Apertura del centro infantil municipal de cuido</t>
  </si>
  <si>
    <t>Centro Infantil de cuido funcionando</t>
  </si>
  <si>
    <t>UAEG – Comisión Municipal de la Condición de la Mujer (CMCM) – Alcaldía</t>
  </si>
  <si>
    <t>La Municipalidad de Heredia inaugura Centro Infantil Modelo para la atención de la niñez Herediana.</t>
  </si>
  <si>
    <t>Se reprogramó</t>
  </si>
  <si>
    <t xml:space="preserve">7.1.2.Implementar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</si>
  <si>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 xml:space="preserve">7.1.2.1.Sensibilizar y divulgar en las distintas unidades administrativas, organizaciones y fuerzas vivas de  la comunidad sobre la importancia de planificar espacios de cuido para personas menores de edad, paralelos a las reuniones que se convoquen. </t>
  </si>
  <si>
    <t>Mecanismos implementados para la comunicación.</t>
  </si>
  <si>
    <t>UAEG en coordinación con las distintas unidades, Unidad Administrativa encargada de Comunicación Interna y Externa, Proveeduría Municipal, grupos organizados, Universidades.</t>
  </si>
  <si>
    <t>Programa de Trabajo Comunal Universitario de Universidades Púbicas y/o Privadas.</t>
  </si>
  <si>
    <t>Todas las Asociaciones de Desarrollo, organizaciones comunales y otras fuerzas vivas sensibilizadas y comprometidas con la igualdad y equidad de género, facilitan espacios para el cuido de personas menores de edad paralelos a las reuniones y otras actividades que programan.</t>
  </si>
  <si>
    <t xml:space="preserve">Implementar una estrategia de comunicación (volantes, afiches, brochures) para sensibilizar a la ciudadanía sobre la importancia de incorporar espacios de cuido para personas menores de edad que faciliten la participación de las mujeres en las actividades públicas. </t>
  </si>
  <si>
    <t>Brindar espacios para el cuido de personas menores de edad paralelos a los procesos de capacitación que desarrollen todas las unidades administrativas de la Municipalidad con las comunidades.</t>
  </si>
  <si>
    <t>Implementar una estratejia  de comunicación  (volantes, afiches, brouchures) para sensiblizar a la ciudadania  sobre la  importancia de incorporar espacios de cuido para  personas  menores de edad que faciliten  la participación de las mujeres en las actividades  publicas</t>
  </si>
  <si>
    <t>7.1.2.2.Construir una base de datos de personas que puedan brindar el servicio de cuido</t>
  </si>
  <si>
    <t>Base de datos construida</t>
  </si>
  <si>
    <t>UAEG</t>
  </si>
  <si>
    <t>La Municipalidad de Heredia cuenta con una base  de datos actualizada de personas que brindan el servicio de cuido para facilitar la participación de las mujeres en los procesos de capacitación.</t>
  </si>
  <si>
    <t xml:space="preserve">Elaborar una base de datos de personas que pueden brindar el servicio de cuido. </t>
  </si>
  <si>
    <t xml:space="preserve">Implementar una estrategia  de comunicación (volantes, afiches, brouchures) para sensibilizar a la ciudadanía sobre la importancia de incorporar espacios de ciudo para personas menores de edad que faciliten la participación de las mujeres en las actividades públicas.  </t>
  </si>
  <si>
    <t>Contruir una base de datos de personas que puedan brindar el servicio de cuido.</t>
  </si>
  <si>
    <t xml:space="preserve">7.1.2.3Contemplar dentro de las especificaciones técnicas de contrataciones por servicios profesionales para capacitación en las comunidades, el rubro de cuido de personas menores de edad. </t>
  </si>
  <si>
    <t>Directriz Interna</t>
  </si>
  <si>
    <t>Alcaldía, unidades administrativas y  Proveeduría Municipal.</t>
  </si>
  <si>
    <t>La Municipalidad de Heredia desarrolla procesos de capacitación dirigidos a la comunidad en los que se han contemplado de manera paralela espacios de cuido para personas menores de edad.</t>
  </si>
  <si>
    <t>Se reprograma para III trimestre 2013 según oficio MH-OFIM-143-2013</t>
  </si>
  <si>
    <t>7.1.2.4.Brindar espacios para el cuido de personas menores de edad paralelos a los procesos de capacitación que desarrollen todas las unidades administrativas de la Municipalidad con las comunidades.</t>
  </si>
  <si>
    <t xml:space="preserve">Porcentaje de  personas menores de edad atendidas por actividad.
</t>
  </si>
  <si>
    <t>Todas las unidades administrativas que desarrollen actividades de capacitación</t>
  </si>
  <si>
    <t>Programa de Trabajo Comunal Universitario de Universidades Púbicas y/o Privadas</t>
  </si>
  <si>
    <t>Mayor participación de las mujeres en procesos de capacitación que promueve la Municipalidad en las comunidades</t>
  </si>
  <si>
    <t xml:space="preserve">Brindar espacios para el cuido de personas menores de edad paralelos a los procesos de capacitación que desarrollen todas las unidades administrativas de la Municipalidad con las Comunidades. </t>
  </si>
  <si>
    <t xml:space="preserve">Brindar espacios para el cuido de personas  menores de edad paralelos  a los procesos de capacitación que desarrollen  todas las unidades administrativas de la Municipalidad con las comunidades </t>
  </si>
  <si>
    <t>7.1.3.Proteger los derechos humanos de los niños y las niñas frente al abuso sexual</t>
  </si>
  <si>
    <t xml:space="preserve">7.1.3.1.Promover la implementación en los centros educativos de primaria del Cantón una  campaña anual para la prevención del abuso sexual contra personas menores de edad. </t>
  </si>
  <si>
    <t>Una campaña anual</t>
  </si>
  <si>
    <t>UAEG, Unidad encargada de Comunicación interna y externa, Policía Municipal</t>
  </si>
  <si>
    <t>Red de Atención y Prevención de la Violencia, Coordinación con autoridades MEP, INAMU</t>
  </si>
  <si>
    <t>La Municipalidad de Heredia articula esfuerzos interinstitucionales para la prevención del abuso sexual a personas menores de edad.</t>
  </si>
  <si>
    <t xml:space="preserve">Desarrollar una campaña para la prevención del abuso sexual en niños y niñas de I Ciclo en tres escuelas del Cantón Central. </t>
  </si>
  <si>
    <t xml:space="preserve">Desarrollar una campaña de prevención del abuso sexual dirigida a PME en edad preescolar, I y II Ciclo,  que incluya a docentes, padres y madres y comunidad estudiantil, en tres escuelas del Cantón Central. </t>
  </si>
  <si>
    <t xml:space="preserve">Capacitar por medio de una campaña de prevención del abuso sexual dirigida al PME en edad preescolar, I y II Ciclo, que incluya a docentes, padres y madres y comunidad estudiantil, en tres escuelas del Cantón Central. </t>
  </si>
  <si>
    <t>Capacitar por medio de una campaña de prevención del abuso sexual dirigida al PME en edad preescolar, I y II Ciclo, que incluya a doscentes, padres y madres y comunidad estudiantil , en tres escuelas del Canton Central.</t>
  </si>
  <si>
    <t>.</t>
  </si>
  <si>
    <t xml:space="preserve">7.1.3.2.Evaluar impacto de campaña realizada. </t>
  </si>
  <si>
    <t>Informe de evaluación de campaña.</t>
  </si>
  <si>
    <t>7.1.3.3.Segunda edición de campaña anual para la prevención del abuso sexual contra personas menores de edad.</t>
  </si>
  <si>
    <t>Material de campaña reeditado</t>
  </si>
  <si>
    <t>Se trabajó material para segunda campaña pero está proceso de elaboracióm</t>
  </si>
  <si>
    <t>Según oficio MH-UIEG-071-*2014 se cumplió en febrero 2014</t>
  </si>
  <si>
    <t xml:space="preserve">7.1.4.Apoyar la gestión de  Centros Diurnos para Personas Adultas Mayores </t>
  </si>
  <si>
    <t xml:space="preserve">7.1.4.1.Realizar un diagnóstico, desde la perspectiva de género, de las necesidades e intereses de las personas adultas mayores que asisten a Centros Diurnos. </t>
  </si>
  <si>
    <t>Documento de diagnóstico</t>
  </si>
  <si>
    <t>UAEG –Unidad Administrativa responsable de Desarrollo Social</t>
  </si>
  <si>
    <t>CONAPAM, UNA (Programa Movimiento para la Vida, MOVI) y Asociaciones de Desarrollo.</t>
  </si>
  <si>
    <t>La Municipalidad de Heredia asume un papel protagónico y apoya la gestión de las entidades que brindan atención integral a las personas adultas mayores..</t>
  </si>
  <si>
    <t>Realizar un diagnóstico, desde la perspectiva de género de las necesidades e interes de als personas adultas mayores que asisten a Centros Diurnos.</t>
  </si>
  <si>
    <t xml:space="preserve">7.1.4.2.Elaborar un plan estratégico conjunto Municipalidad y los  Centros Diurnos para la atención de las necesidades identificadas. </t>
  </si>
  <si>
    <t>Documento de Plan estratégico</t>
  </si>
  <si>
    <t>Implementar un plan estratégico conjunto municipalidad y Centros Diurnos para la atención de las necesidades identificadas.</t>
  </si>
  <si>
    <t xml:space="preserve">7.1.4.3.Desarrollar plan de trabajo vinculado al plan estratégico </t>
  </si>
  <si>
    <t>Informe de acciones realizadas</t>
  </si>
  <si>
    <t>7.1.5.Realizar Ferias de la Salud en las Comunidades.</t>
  </si>
  <si>
    <t>7.1.5.1.Promover ferias de la salud en las comunidades para facilitar el acceso a los servicios de atención médica a las comunidades en general y a las mujeres en particular.</t>
  </si>
  <si>
    <t xml:space="preserve">Ferias de la salud realizadas </t>
  </si>
  <si>
    <t>UAEG y Unidad Administrativa responsable de Desarrollo Social, Unidad encargada de Comunicación Interna y Externa</t>
  </si>
  <si>
    <t>Caja Costarricense de Seguro Social, Empresas Privadas que brinden servicios de salud, INA</t>
  </si>
  <si>
    <t>La Municipalidad de Heredia articula esfuerzos interinstitucionales en conjunto con el sector salud y la empresa privada para acercar los servicios de salud a las comunidades.</t>
  </si>
  <si>
    <t xml:space="preserve">Coordinar la realización de dos ferias de la salud en dos comunidades del Cantón Central de Heredia para facilitar el acceso a los servicios de atención médica a las comunidades en general y a las mujeres en particular. </t>
  </si>
  <si>
    <t xml:space="preserve">Promover ferias de la salud en las comunidades para facilitar el acceso a los servicios de atención médica a las comunidades en general y a las mujeres en particular. </t>
  </si>
  <si>
    <t>Promover 2 ferias de la salud en las comunidades para facilitar el acceso a los servicios de atención médica a las comunidades en general y a las mujeres en particular.</t>
  </si>
  <si>
    <t>Se realizó solamente una feria eln el III trimestre</t>
  </si>
  <si>
    <t>Promover 1 feria de la salud en las comunidades para facilitar el acceso a los servicios de atención médica a las comunidades en general y a las mujeres en particular.</t>
  </si>
  <si>
    <t>7.1.6.Capacitar a personas adolescentes del cantón sobre sexualidad integral.</t>
  </si>
  <si>
    <t>7.1.6.1.Desarrollar capacitaciones sobre sexualidad integral  con personas menores de edad y adolescentes  que asisten al sistema educativo formal.</t>
  </si>
  <si>
    <t>Informe de capacitaciones realizadas</t>
  </si>
  <si>
    <t>UAEG y Unidad Administrativa responsable de Desarrollo Social Unidad encargada de Comunicación Interna y Externa</t>
  </si>
  <si>
    <t>Ministerio de Educación, Colegios Públicos del Cantón, Asociaciones de Desarrollo. PANI</t>
  </si>
  <si>
    <t>La Municipalidad de Heredia lidera acciones de capacitación en el tema de sexualidad integral, dirigidos a personas adolescentes del Cantón.</t>
  </si>
  <si>
    <t xml:space="preserve">Desarrollar un taller de capacitación sobre sexualidad integral dirigido a tres grupos de adolescentes que asisten al sistema educativo formal.                   -Desarrollar un taller de capacitación sobre sexualidad integral dirigido a un grupo de adolescentes que no asisten al sistema educativo formal. </t>
  </si>
  <si>
    <t>Desarrollar el programa "Bebé, Piénsalo Bien" con al menos 12 grupos de jóvenes insertos y excluidos del sistema educativo</t>
  </si>
  <si>
    <t>Desarrollar 14 procesos de capacitación  sobre sexualidad integral con personas menores de edad y adolescentes que asisten o están excluídos al sistema educativo formal.</t>
  </si>
  <si>
    <t>Desarrollar 10 procesos de capacitación  sobre sexualidad integral  con personas menores de edad y adolescentes  que asisten o  están  excluidos al sistema educativo  formal.</t>
  </si>
  <si>
    <t>Desarrollarel proyecto BPB por medio de  procesos de capacitación  sobre sexualidad integral  con personas menores de edad y adolescentes  de la comunidad que asisten  al sistema educativo  formal.</t>
  </si>
  <si>
    <t>7.1.6.2.Desarrollar capacitaciones sobre sexualidad integral   con personas menores de edad y adolescentes  de las comunidades que no asisten al sistema educativo formal.</t>
  </si>
  <si>
    <t xml:space="preserve">Desarrollar capacitaciones sobre sexualidad integral con personas menores de edad y adolescentes de la comunidades que no asisten al sistema educativo formal. </t>
  </si>
  <si>
    <t>LP 7.2.  Promover acciones afirmativas que promuevan la equidad de género y la participación de las mujeres.</t>
  </si>
  <si>
    <t>LP 7.2.1. a LP 7.2.12.  Desarrollar al menos 12 proyectos que promuevan  acciones afirmativas que incentiven  la equidad de género y la participación de las mujeres.</t>
  </si>
  <si>
    <t>7.2.Programa: Plan de Igualdad y Equidad de Genero</t>
  </si>
  <si>
    <t>Promover acciones afirmativas que promuevan la equidad de género y la participación de las mujeres.</t>
  </si>
  <si>
    <t>7.2.1.Integrar criterios de igualdad y equidad en la gestión del recurso humano municipal.</t>
  </si>
  <si>
    <t>7.2.1.1.Integrar en los perfiles de las plazas vacantes, la formación en temas de género como un requisito deseable.</t>
  </si>
  <si>
    <t>Documento de perfil de las plazas integra el enfoque de género entre los requisitos a solicitar.</t>
  </si>
  <si>
    <t>Departamento de Recursos Humanos, UAEG</t>
  </si>
  <si>
    <t>El personal nuevo que se integre a la Corporación Municipal posee valores de igualdad, equidad, respeto a las diversidades (sexual, etaria, étnica, cultural, religiosa, política).</t>
  </si>
  <si>
    <t>Apoyar la integración del enfoque de género en los procesos de contratación de personal.</t>
  </si>
  <si>
    <t>7.2.1.2.Construir una herramienta para identificar prejuicios (homo-lesbofobia, machismo, sexismo, etc) en las personas oferentes que participan del proceso de entrevista y selección de personal en la Municipalidad de Heredia</t>
  </si>
  <si>
    <t xml:space="preserve">Instrumento para identificar prejuicios en las personas que desean ser contratadas en la Municipalidad de Heredia. </t>
  </si>
  <si>
    <t>Construir una herramienta en coordinación con la Oficina de la Mujer  para identificar  prejuicios  en las personas que desean  ser contratadas en la Municipaldiad de Heredia.        -Elaborar una herramienta que permita identificar prejuicios (homo-lesbofobia, machismo, sexismo, etc) en las personas oferentes que participan del proceso de entrevista  y selección de personal en la Municipalidad de Heredia</t>
  </si>
  <si>
    <t xml:space="preserve">7.2.1.3.Promover la contratación de personal femenino en tareas consideradas “no tradicionales” como: vigilancia y policía municipal, estacionamiento autorizado, taller mecánico, etc en  los departamentos municipales que así lo requieran. </t>
  </si>
  <si>
    <t xml:space="preserve">Acción de personal de funcionarias contratadas en plazas nuevas y vacantes.
Actividades de promoción realizadas.
</t>
  </si>
  <si>
    <t>La Municipalidad de Heredia impulsa acciones que favorecen la inserción laboral de las mujeres para que se alcance una participación paritaria en el desempeño de labores consideradas tradicionalmente como pertenecientes a un género determinado</t>
  </si>
  <si>
    <t xml:space="preserve">Politica de promoción de la contratación de mujeres  en puestos  consideradas "no tradicionales" como vigilancia y policia municipal, estacionamiento autorizado, taller mecánico, etc  </t>
  </si>
  <si>
    <t>Realizar una actividad de promoción para ocupar plazas de oficios considerados "no tradicionales" para las mujeres.</t>
  </si>
  <si>
    <t xml:space="preserve">Realizar una actividad de promoción para ocupar plazas de oficios considerados "no tradicionales" para las mujeres. </t>
  </si>
  <si>
    <t>Durante el II trimestre no se realizaron</t>
  </si>
  <si>
    <r>
      <t xml:space="preserve">Promover ante el Alcalde por medio de oficios trimestrales, la contratación de personal femenino en tareas consideradas “no tradicionales” como: vigilancia y policía municipal, estacionamiento autorizado, taller mecánico, etc en  los departamentos municipales que así lo requieran. (RH)
Realizar una actividad de promoción para ocupar plazas de oficios considerados "no tradicionales" para las mujeres. </t>
    </r>
    <r>
      <rPr>
        <sz val="12"/>
        <color rgb="FFFF0000"/>
        <rFont val="Arial"/>
        <family val="2"/>
      </rPr>
      <t>(Igualdad y Equidad)</t>
    </r>
  </si>
  <si>
    <t xml:space="preserve">7.2.1.4.Integrar criterios de igualdad y equidad de género en los manuales descriptivos de puestos y la escala salarial respectiva. </t>
  </si>
  <si>
    <t>Manual descriptivo de puestos y escala salarial revisada</t>
  </si>
  <si>
    <t xml:space="preserve">La Municipalidad de Heredia tiene un trato equitativo hacia hombres y mujeres que laboran para la institución. </t>
  </si>
  <si>
    <t>Incluir en el Manual Descriptivo de Clases de puestos que se realiza en coordinación con el Servicio Civil criterios de igualdad y equidad.  Incluir en la Escala Salarial que se esta trabajando conen coordinación conel Servicio Civil los criteios de igualda y equidad de género.</t>
  </si>
  <si>
    <t>7.2.1.5.Incorporar en el proceso de inducción del personal de primer ingreso, el uso del lenguaje inclusivo.</t>
  </si>
  <si>
    <t>Número de personas de primer ingreso que recibieron la inducción.</t>
  </si>
  <si>
    <r>
      <rPr>
        <sz val="11"/>
        <rFont val="Calibri"/>
        <family val="2"/>
      </rPr>
      <t>Departamento de Recursos Humanos</t>
    </r>
    <r>
      <rPr>
        <sz val="11"/>
        <rFont val="Calibri"/>
        <family val="2"/>
        <scheme val="minor"/>
      </rPr>
      <t>, UAEG</t>
    </r>
  </si>
  <si>
    <t>Interna</t>
  </si>
  <si>
    <t>La Municipalidad de Heredia sensibiliza a todo su personal sobre la importancia del uso del lenguaje inclusivo.</t>
  </si>
  <si>
    <t>Incluir en el Manual e Inducción el lenguaje inclusivo (7.2.1.5)</t>
  </si>
  <si>
    <t>No se pudo cumplir debido a que no se pudo confeccionar manual de inducción.  Según oficio MH-OFIM-143-2013, programa pendiente 2012 III trimestre</t>
  </si>
  <si>
    <t>Capacitar por medio de dos talleres anuales a personal de primer ingreso en temas de género, igualdad y equidad, así como el uso de lenguaje inclusivo. 
.Incorporar en el proceso de inducción del personal de primer ingreso, el uso del lenguaje inclusivo.</t>
  </si>
  <si>
    <t>Incorporar en el proceso de inducción del personal de primer ingreso, el uso del lenguaje inclusivo.(RH)
Incorporar en el proceso de inducción del personal de primer ingreso, el uso del lenguaje inclusivo.(IEG)</t>
  </si>
  <si>
    <t>Coordinar con el Departamento de Talento Humano el proceso de inducción del personal de primer ingreso, el uso del lenguaje inclusivo(Igualda y Equidad).
Coordinar con la oficina de Igualdad, Equidad y Genero, la inclusión del lenguaje inclusivo en el proceso de Inducción de Personal.(TH)</t>
  </si>
  <si>
    <t>Coordinar con el Departamento de Talento Humano el proceso de inducción del personal de primer ingreso, el uso del lenguaje inclusivo.</t>
  </si>
  <si>
    <t xml:space="preserve">7.2.2.Contar con una base de datos segregada por sexo en todos los departamentos de manera que se facilite la implementación de acciones diferenciadas dirigidas a personas con iniciativas empresariales. </t>
  </si>
  <si>
    <t>7.2.2.1.Mejorar las bases de datos existentes en todos los departamentos de la Municipalidad incorporando la variable sexo mediante la actualización de 1200 registros anuales.</t>
  </si>
  <si>
    <t>Base de datos municipal segregada por sexo</t>
  </si>
  <si>
    <r>
      <t xml:space="preserve">Mercado Municipal, </t>
    </r>
    <r>
      <rPr>
        <sz val="11"/>
        <rFont val="Calibri"/>
        <family val="2"/>
      </rPr>
      <t>Departamento de Rentas y Cobranzas</t>
    </r>
    <r>
      <rPr>
        <sz val="11"/>
        <rFont val="Calibri"/>
        <family val="2"/>
        <scheme val="minor"/>
      </rPr>
      <t>, Comisión del Mercado, Intermediación Laboral,</t>
    </r>
    <r>
      <rPr>
        <sz val="11"/>
        <rFont val="Calibri"/>
        <family val="2"/>
      </rPr>
      <t xml:space="preserve"> Departamento de Cómputo</t>
    </r>
  </si>
  <si>
    <t>La Municipalidad de Heredia cuenta con bases de datos segregadas por sexo que le permiten implementar proyectos con enfoque de género que requieren de acciones diferenciadas para cerrar brechas entre hombres y mujeres.</t>
  </si>
  <si>
    <t>Solicitar al departamento de Cómputo la inclusión de la variable sexo en la  base de datos del módulo de Recusos Humanos del Sistema Integrado. (7.2.2.1)         Realizar un diagnóstico para mejorar las bases de datos existentes en todos los departamentos de la Municipalidad incorporando la variable sexo.     - Segregar la base de datos incorporando la variable sexo</t>
  </si>
  <si>
    <t>Cómputo 100%, Rentas y Cobranzas 9%</t>
  </si>
  <si>
    <t>Pendiente 91% Segregación base de datos por parte de Rentas y Cobranzas</t>
  </si>
  <si>
    <t>Segregar la base de datos incorporando la variable sexo, por medio de la actulización de 1200 registros durante el año 2013(Cambio Prog. POA)</t>
  </si>
  <si>
    <t>Segregar la base de datos incorporando la variable sexo por medio de la actualización de 1200 registros durante el año 2014.</t>
  </si>
  <si>
    <t>Esta meta no se pudo ejecutar debido a que en el Sistema de Informaci´n se eliminó la segregación por sexo.</t>
  </si>
  <si>
    <t>7.2.3.Promover nuevas identidades femeninas y masculinas para la construcción de una sociedad más justa y equitativa</t>
  </si>
  <si>
    <t xml:space="preserve">7.2.3.1.Desarrollar un programa de capacitación permanente dirigido al personal y autoridades municipales, en temas de igualdad y equidad, derechos humanos, masculinidades, feminidades respeto a la diversidad, entre otros.
</t>
  </si>
  <si>
    <t>Informe anual de capacitaciones desarrolladas</t>
  </si>
  <si>
    <r>
      <rPr>
        <sz val="11"/>
        <rFont val="Calibri"/>
        <family val="2"/>
      </rPr>
      <t>UAEG</t>
    </r>
    <r>
      <rPr>
        <sz val="11"/>
        <rFont val="Calibri"/>
        <family val="2"/>
        <scheme val="minor"/>
      </rPr>
      <t>, Departamento de</t>
    </r>
    <r>
      <rPr>
        <sz val="11"/>
        <rFont val="Calibri"/>
        <family val="2"/>
      </rPr>
      <t xml:space="preserve"> Recursos Humanos</t>
    </r>
    <r>
      <rPr>
        <sz val="11"/>
        <rFont val="Calibri"/>
        <family val="2"/>
        <scheme val="minor"/>
      </rPr>
      <t>, Red de Atención Prevención de la Violencia, Policía Municipal y Fuerza Pública</t>
    </r>
  </si>
  <si>
    <t>INAMU</t>
  </si>
  <si>
    <t xml:space="preserve">La Municipalidad de Heredia cuenta con un capital humano altamente capacitado en temas de género. </t>
  </si>
  <si>
    <t>Apoyar  la gestión de la oficina de la Mujer en la capacitación  en temas de de igualdad  y equidad, derechos humanos, feminidades(7.2.3.1)                       -Dos talleres de capacitación dirigido al personal municipal y autoridades municipales en temas de igualdad, equidad, derechos humanos, masculinidades, feminidades, respeto a la diversidad, entre otros.</t>
  </si>
  <si>
    <t xml:space="preserve">Desarrollar 14 actividades de capacitación  y sensibilización en temas  de igualdad y equidad, derechos humanos, masculinidades, feminidades, respeto a la diversidad entre otros.  
Campaña para erradicación de la Violencia de Género : "Heredia + Equitativa"Desarrollar un programa de capacitación permanente dirigido al personal y autoridades municipales, en temas de igualdad y equidad, derechos humanos, </t>
  </si>
  <si>
    <t>Desarrollar un programa de 6 capacitaciones dirigido al personal y autoridades municipales, en temas de igualdad y equidad, derechos humanos, masculinidades, feminidades respeto a la diversidad, entre otros.</t>
  </si>
  <si>
    <r>
      <t>Coordinar con la oficina de Igualda, Equidad y Género el desarrollo de un programa de capacitación permanente dirigido al personal y autoridades municipales, en temas de igualdad y equidad, derechos humanos, masculinidades, feminidades respeto a la diversidad, entre otros</t>
    </r>
    <r>
      <rPr>
        <sz val="11"/>
        <color rgb="FFFF0000"/>
        <rFont val="Calibri"/>
        <family val="2"/>
        <scheme val="minor"/>
      </rPr>
      <t>.(RH)</t>
    </r>
    <r>
      <rPr>
        <sz val="11"/>
        <rFont val="Calibri"/>
        <family val="2"/>
        <scheme val="minor"/>
      </rPr>
      <t xml:space="preserve">
Desarrollar un programa de 4 capacitaciones dirigido al personal y autoridades municipales, en temas de igualdad y equidad, derechos humanos, masculinidades, feminidades respeto a la diversidad, entre otros.</t>
    </r>
    <r>
      <rPr>
        <sz val="11"/>
        <color rgb="FFFF0000"/>
        <rFont val="Calibri"/>
        <family val="2"/>
        <scheme val="minor"/>
      </rPr>
      <t>(Igualdad y Equidad)</t>
    </r>
  </si>
  <si>
    <t>Desarrollar un programa de 4 capacitaciones dirigido al personal y autoridades municipales, en temas de igualdad y equidad, derechos humanos, masculinidades, feminidades respeto a la diversidad, entre otros.</t>
  </si>
  <si>
    <t>7.2.3.2.Coordinar el desarrollo  de un programa de capacitación permanente dirigido asociaciones de desarrollo, grupos organizados, y fuerzas vivas de la comunidad, en temas de igualdad y equidad, derechos humanos, masculinidades, feminidades respeto a la diversidad, violencia contra las mujeres y las niñas entre otros.</t>
  </si>
  <si>
    <r>
      <rPr>
        <sz val="11"/>
        <rFont val="Calibri"/>
        <family val="2"/>
      </rPr>
      <t>UAEG</t>
    </r>
    <r>
      <rPr>
        <sz val="11"/>
        <rFont val="Calibri"/>
        <family val="2"/>
        <scheme val="minor"/>
      </rPr>
      <t>, Unidad Administrativa responsable de Desarrollo Social,</t>
    </r>
  </si>
  <si>
    <t>DINADECO, INAMU, UCA</t>
  </si>
  <si>
    <t>La Municipalidad de Heredia tiene un papel líder en la capacitación de fuerzas vivas de la comunidad en temas de igualdad y equidad, para la construcción de una sociedad más equitativa.</t>
  </si>
  <si>
    <t xml:space="preserve">Dos talleres de capacitación dirigido asociaciones de desarrollo, grupos organizados, fuerzas vivas de la comunidad en temas de igualdad, equidad, derechos humanos, masculinidades, feminidades, respeto a la diversidad, entre otros. </t>
  </si>
  <si>
    <t>Taller de sensibilización en temas de género para comunidades, Proceso Participativo</t>
  </si>
  <si>
    <t>7.2.3.3.Coordinar el desarrollo de un programa de capacitación permanente dirigido autoridades del MEP y docentes de educación primaria y secundaria de instituciones públicas del Cantón, en temas de igualdad y equidad, derechos humanos, masculinidades, feminidades respeto a la diversidad, entre otros.</t>
  </si>
  <si>
    <t>Informe anual de implementación de capacitaciones</t>
  </si>
  <si>
    <t>UAEG, Unidad Administrativa responsable de Desarrollo Social,</t>
  </si>
  <si>
    <t>Ministerio de Educación, INAMU</t>
  </si>
  <si>
    <t>La Municipalidad de Heredia ejerce un papel protagónico en la articulación de iniciativas locales que promueven una educación no sexista</t>
  </si>
  <si>
    <t xml:space="preserve">Cuatro talleres de capacitación dirigido autoridades del MEP, docentes de secundaria y primaria de instituciones públicas en temas de igualdad, equidad, derechos humanos, masculinidades, feminidades, respeto a la diversidad, entre otros. </t>
  </si>
  <si>
    <t xml:space="preserve">Coordinar el desarrollo de 12 talleres dirigido autoridades del MEP y docentes de educación primaria y secundaria de instituciones públicas del Cantón, en temas de igualdad y equidad, derechos     </t>
  </si>
  <si>
    <t>Cumplimiento 67%</t>
  </si>
  <si>
    <t>Debido a la huelga de maestros que hubo durante el I semestre  afectando la coordinación de las actividades programadas</t>
  </si>
  <si>
    <t xml:space="preserve">Coordinar el desarrollo de 6 talleres dirigido autoridades del MEP y docentes de educación primaria y secundaria de instituciones públicas del Cantón, en temas de igualdad y equidad, derechos     </t>
  </si>
  <si>
    <t xml:space="preserve">Coordinar el desarrollo de 3 talleres dirigido autoridades del MEP y docentes de educación primaria y secundaria de instituciones públicas del Cantón, en temas de igualdad y equidad, derechos   humanos masculinidades, feminidades respeto a la diversidad, entre otros </t>
  </si>
  <si>
    <t xml:space="preserve">7.2.3.4.Utilizar lenguaje inclusivo en todos los documentos oficiales, comunicados, campañas, sitio web y otros. </t>
  </si>
  <si>
    <t xml:space="preserve">
Estrategia de comunicación de la Municipalidad de Heredia que integra el lenguaje inclusivo.
</t>
  </si>
  <si>
    <r>
      <rPr>
        <sz val="11"/>
        <rFont val="Calibri"/>
        <family val="2"/>
      </rPr>
      <t>UAEG</t>
    </r>
    <r>
      <rPr>
        <sz val="11"/>
        <rFont val="Calibri"/>
        <family val="2"/>
        <scheme val="minor"/>
      </rPr>
      <t xml:space="preserve">, Unidad responsable de Comunicación Interna y Externa, </t>
    </r>
    <r>
      <rPr>
        <sz val="11"/>
        <rFont val="Calibri"/>
        <family val="2"/>
      </rPr>
      <t>Departamento de Cómputo</t>
    </r>
  </si>
  <si>
    <t>La Municipalidad de Heredia utiliza lenguaje inclusivo en todos sus documentos oficiales</t>
  </si>
  <si>
    <t>Actualizar el sitio web con documentos oficiales, comunicados, campañas, sitio web enviados por otros departamentos que integre lenguaje inclusivo.</t>
  </si>
  <si>
    <t xml:space="preserve">Elaborar una guía para el uso de lenguaje inclusivo en la redacción de documentos oficiales y otros.
Utilizar lenguaje inclusivo en todos los documentos oficiales, comunicados, campañas, sitio web y otros. </t>
  </si>
  <si>
    <t>Realización de un taller de capacitación sobre como utilizar lenguaje inclusivo en todoslos documentos y espacios de trabajo y demás.</t>
  </si>
  <si>
    <t>Realización de un taller de capacitación sobre como utilizar lenguaje inclusivo en todos los documentos y espacios de trabajo y demás.</t>
  </si>
  <si>
    <t>7.3.3.5.Campaña Municipal dirigida  a la ciudanía  permanente para promover la igualdad y equidad de género en el Cantón</t>
  </si>
  <si>
    <t>Informe de campaña realizada</t>
  </si>
  <si>
    <t>UAEG, Unidad de Comunicación y Coordinación con sector empresarial</t>
  </si>
  <si>
    <t>La Municipalidad de Heredia, lidera acciones para promover la igualdad y equidad entre hombres y mujeres a través de los distintos medios de comunicación disponibles</t>
  </si>
  <si>
    <t>Desarrollar una campaña para promover la distribución equitativa de las labores domésticas. "Responsabilidades Compartidas".</t>
  </si>
  <si>
    <t>Campaña para erradicación de la Violencia de Género : "Heredia + Equitativa"</t>
  </si>
  <si>
    <t>Ejecución de una Campaña Municipal para la erradicación de la Violencia de Género "Heredia + Equitativa" dirigida a la ciudanía permanente para promover la igualdad y equidad de género en el Cantón</t>
  </si>
  <si>
    <t>Ejecución de una Campaña Municipal para la erradicación de la Violencia de Género (acoso callejero, hostigmaiento sexual en el transporte publica) dirigida a la ciudanía permanente para promover la igualdad y equidad de género en el Cantón</t>
  </si>
  <si>
    <t>7.2.3.6.Elaboración y desarrollo de un plan de trabajo que promueva juegos cooperativos dirigidos a toda la población.</t>
  </si>
  <si>
    <t>Plan de Trabajo</t>
  </si>
  <si>
    <t xml:space="preserve">Comité Cantonal  y Distritales de Deportes
Comité Cantonal de la Persona Joven
Unidad Administrativa encargada del Desarrollo Social
UAEG
</t>
  </si>
  <si>
    <t xml:space="preserve">La Municipalidad de Heredia desarrolla programas deportivos enfocados a las mujeres </t>
  </si>
  <si>
    <t>Se trabajó dentro de los Domingos Heredianos con actividades como juegos tradicionales</t>
  </si>
  <si>
    <t xml:space="preserve">Dar seguimiento a las acciones programadas para la integración de juegos cooperativos que promueve la Municipalidad de Heredia. </t>
  </si>
  <si>
    <t xml:space="preserve">7.2.3.7.Promover la integración  de las mujeres  y otros grupos socialmente vulnerabilizados, en diversos deportes.  </t>
  </si>
  <si>
    <t>POA del Comité Cantonal de Deportes</t>
  </si>
  <si>
    <t xml:space="preserve">Universidades Públicas y/o privadas con carreras relacionadas al deporte.
Asociación Guías y Scouts de Costa Rica.
</t>
  </si>
  <si>
    <t>se realizó por medio de talleres de confeción de piñatas, cajas, macrome, gregoriano n conjunto con Casa de la Justicia, PANI y la UTN</t>
  </si>
  <si>
    <t xml:space="preserve">
Promover la realización de al menos 4 actividades que den cumplimiento a los Proyectos de Caminata en forma con mi mascota, Caminata Adulto Mayor, Carrera Nocturna y la Carrera de la milla por la salud </t>
  </si>
  <si>
    <t xml:space="preserve">Promover la realización de al menos 4 actividades que den cumplimiento a los Proyectos de Caminata en forma con mi mascota, Caminata Adulto Mayor, Carrera Nocturna y la Carrera de la milla por la salud </t>
  </si>
  <si>
    <t xml:space="preserve">la Carrera del cáncer de Mama la cual  fue coordinada por la ESPH, ya que la Municipalidad está en un proceso de elaboración de un manual de procedimientos para este tipo de actividades y otras  carreras  programadas. </t>
  </si>
  <si>
    <t>Promover la realización de al menos 4 actividades que den cumplimiento a los Proyectos de Caminata en forma con mi mascota,  Caminata Adulto Mayor, Carrera Nocturna y Día del Deporte y Actividad Física.</t>
  </si>
  <si>
    <t>7.2.4.Desarrollar campañas para divulgar el reglamento interno contra el Hostigamiento Sexual y erradicar su prevalencia.</t>
  </si>
  <si>
    <t>7.2.4.1.Realizar un diagnóstico interno sobre clima organizacional con énfasis en hostigamiento sexual.</t>
  </si>
  <si>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UAEG, Departamento de Recursos Humanos, Intermediación Laboral, Unidad responsable de comunicación interna y externa, 
</t>
    </r>
  </si>
  <si>
    <t xml:space="preserve">UAEG, Departamento de Recursos Humanos, Intermediación Laboral, Unidad responsable de comunicación interna y externa, 
UAEG, Departamento de Recursos Humanos, Intermediación Laboral, Unidad responsable de comunicación interna y externa, 
</t>
  </si>
  <si>
    <t>La Corporación Municipal garantiza un ambiente respetuoso para todas las personas trabajadoras en la institución.</t>
  </si>
  <si>
    <t xml:space="preserve">Apoyar la gestión de diagnostico de la Oficina de la Mujer, sobre el clima organizacional con énfasis en hostigamiento sexual, por medio de comunicados y presencia en las reuniones cuando así sea solicitiado. (7.2.4.1)           -Realizar un diagnóstico interno sobre clima organizacional con énfasis en hostigamiento sexual. </t>
  </si>
  <si>
    <t>7.2.5.Desarrollar un programa de capacitación permanente dirigido al personal municipal sobre el Hostigamiento sexual en el empleo y la normativa institucional vigente.</t>
  </si>
  <si>
    <t>7.2.5.1.Realizar  talleres de capacitación para dar a conocer las manifestaciones del hostigamiento sexual así como  la normativa y el  procedimiento institucional para proteger los derechos de las personas afectadas por esta problemática</t>
  </si>
  <si>
    <t>Campaña de prevención realizada</t>
  </si>
  <si>
    <t>La Municipalidad de Heredia garantiza un ambiente laboral libre de hostigamiento sexual.</t>
  </si>
  <si>
    <t xml:space="preserve">Dar a conocer a los funcionarios y autoridades municipales la normativa con respecto a Hostigamiento sexual , por medio de una campaña informativa. (7.2.5.1)                 -Realizar un taller de capacitación para dar a conocer las manifestaciones del hostigamiento sexual así como la normativa y el procedimientos institucional para proteger los derechos de las personas afectadas. </t>
  </si>
  <si>
    <t>Unicamente queda pendiente la entrega de los brochurs que están confeccionando para incluir con la campaña.  Según oficio MH-OFIM-143-2013-2013 se reprograma para III trimestre.</t>
  </si>
  <si>
    <t xml:space="preserve">Realizar  talleres de capacitación para dar a conocer las manifestaciones del hostigamiento sexual así como  la normativa y el  procedimiento institucional para proteger los derechos de las personas afectadas por esta problemática
Realizar cuatro talleres de capactitación al personal municipal sobre Hostigamiento Sexual en el Empleo. </t>
  </si>
  <si>
    <t>Desarrollar un programa de 4 talleres de capacitación  dirigido al personal municipal sobre el Hostigamiento sexual en el empleo y la normativa institucional vigente.</t>
  </si>
  <si>
    <r>
      <t>Realizar  un taller de capacitación para dar a conocer las manifestaciones del hostigamiento sexual así como  la normativa y el  procedimiento institucional para proteger los derechos de las personas afectadas por esta problemática</t>
    </r>
    <r>
      <rPr>
        <sz val="12"/>
        <color rgb="FFFF0000"/>
        <rFont val="Arial"/>
        <family val="2"/>
      </rPr>
      <t>(RH).</t>
    </r>
    <r>
      <rPr>
        <sz val="12"/>
        <rFont val="Arial"/>
        <family val="2"/>
      </rPr>
      <t xml:space="preserve">
Realizar  talleres de capacitación para dar a conocer las manifestaciones del hostigamiento sexual así como  la normativa y el  procedimiento institucional para proteger los derechos de las personas afectadas por esta problemática</t>
    </r>
    <r>
      <rPr>
        <sz val="12"/>
        <color rgb="FFFF0000"/>
        <rFont val="Arial"/>
        <family val="2"/>
      </rPr>
      <t xml:space="preserve">(intermediación laboral)
</t>
    </r>
    <r>
      <rPr>
        <sz val="12"/>
        <rFont val="Arial"/>
        <family val="2"/>
      </rPr>
      <t>Desarrollar un programa de 4 talleres de capacitación  dirigido al personal municipal sobre el Hostigamiento sexual en el empleo y la normativa institucional vigente</t>
    </r>
    <r>
      <rPr>
        <sz val="12"/>
        <color rgb="FFFF0000"/>
        <rFont val="Arial"/>
        <family val="2"/>
      </rPr>
      <t>.(Igualdad y Equidad)</t>
    </r>
  </si>
  <si>
    <t>Desarrollar un programa de 2 talleres de capacitación  dirigido al personal municipal sobre el Hostigamiento sexual en el empleo y la normativa institucional vigente.</t>
  </si>
  <si>
    <t>2.2.6.Coordinar acciones de divulgación permanentes dirigidas al sector empresarial y a la ciudadanía sobre la Ley contra el  Hostigamiento Sexual en el Empleo y la Docencia y sus Reformas.</t>
  </si>
  <si>
    <t>7.2.6.1.Una campaña anual para la prevención del Hostigamiento  Sexual en el Empleo  y la Docencia y la divulgación de la legislación vigente.</t>
  </si>
  <si>
    <t>Campaña realizada</t>
  </si>
  <si>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t>
    </r>
  </si>
  <si>
    <t>Cámaras del Sector privado, INAMU, Ministerio de Trabajo</t>
  </si>
  <si>
    <t>La Municipalidad de Heredia promueve espacios libres de Hostigamiento Sexual en todo el cantón</t>
  </si>
  <si>
    <t>Realizar una campaña informativa  para la divulgación  de la normativa de hostigamiento laboral en los oferentes y demandantes del Servicio de Intermediación laboral  (7.2.6.1)               -Desarrollar una campaña para la prevención del hostigamiento sexual</t>
  </si>
  <si>
    <t>Campaña Anual para la prevención del Hostigamiento Sexual en el Empleo y la Docencia dirigido al Sector Educación y EmpresarialUna campaña anual para la prevención del Hostigamiento  Sexual en el Empleo  y la Docencia y la divulgación de la legislación vigente.
Campaña Anual para la prevención del Hostigamiento Sexual en el Empleo y la Docencia dirigido al Sector Educación y Empresarial</t>
  </si>
  <si>
    <t>Una campaña anual para la prevención del Hostigamiento Sexual en el Empleo y la Docencia y la divulgación de la legislación vigentedirigido al sector Educación y Empresarial .</t>
  </si>
  <si>
    <r>
      <t>Una campaña anual para la prevención del Hostigamiento  Sexual en el Empleo  y la Docencia y la divulgación de la legislación vigente.</t>
    </r>
    <r>
      <rPr>
        <sz val="11"/>
        <color rgb="FFFF0000"/>
        <rFont val="Calibri"/>
        <family val="2"/>
        <scheme val="minor"/>
      </rPr>
      <t xml:space="preserve">(Intermediación laboral)
</t>
    </r>
    <r>
      <rPr>
        <sz val="11"/>
        <rFont val="Calibri"/>
        <family val="2"/>
        <scheme val="minor"/>
      </rPr>
      <t>Una campaña anual para la prevención del Hostigamiento Sexual en el Empleo y la Docencia y la divulgación de la legislación vigentedirigido al sector Educación y Empresarial .</t>
    </r>
    <r>
      <rPr>
        <sz val="11"/>
        <color rgb="FFFF0000"/>
        <rFont val="Calibri"/>
        <family val="2"/>
        <scheme val="minor"/>
      </rPr>
      <t>Igualdad y Equidad)</t>
    </r>
  </si>
  <si>
    <t>Una campaña anual para la prevención del Hostigamiento Sexual en el Empleo y la Docencia y la divulgación de la legislación vigente dirigido al sector Educación y Empresarial .</t>
  </si>
  <si>
    <t>7.2.7.Contar con un equipo interdisciplinario que contribuya a la atención de las víctimas de violencia intrafamiliar así como el desarrollo de instrumentos para atender la problemática.</t>
  </si>
  <si>
    <t>7.2.7.1.Contratar personal  o servicios especializados para la atención psicológica  individual y grupal de personas víctimas de violencia de género</t>
  </si>
  <si>
    <t>Profesional en psicología contratado para la atención especializada en violencia de género.</t>
  </si>
  <si>
    <t>UAEG, Departamento de Recursos Humanos, Policía Municipal.</t>
  </si>
  <si>
    <t>Red de Atención y Prevención de la Violencia (Casas de Justicia, Consultorios Jurídicos de las Universidades),</t>
  </si>
  <si>
    <t xml:space="preserve">La Municipalidad de Heredia articula esfuerzos interinstitucionales para la atención integral de la violencia y lidera la atención especializada de víctimas de violencia intrafamiliar por medio de grupos, redes de mujeres y un trabajo preventivo permanente en las comunidades heredianas.
</t>
  </si>
  <si>
    <t>Brindar servicio de atención especializada en violencia a mujeres sobrevivientes en la modalidad individual y grupo terapéutico.</t>
  </si>
  <si>
    <t xml:space="preserve">7.2.7.2.Coordinar los especializados para la asesoría legal de las personas víctimas de violencia de género. </t>
  </si>
  <si>
    <t xml:space="preserve">Porcentaje de  casos de personas afectadas por VIF que reciben asesoría legal. </t>
  </si>
  <si>
    <t xml:space="preserve">Impulsar un convenio de cooperación para brindar el servicio de consultorios jurídicos. </t>
  </si>
  <si>
    <t xml:space="preserve">Coordinar los servicios especializados para la asesoría legal de personas víctimas de violencia de género. </t>
  </si>
  <si>
    <t>Coordinar los servicios especializados para la asesoría legal de las personas víctimas de violencia de género.</t>
  </si>
  <si>
    <t xml:space="preserve">7.2.7.3.Elaborar un protocolo de intervención de la policía municipal en casos de violencia doméstica y de género. </t>
  </si>
  <si>
    <t>Documento de Protocolo de intervención policial</t>
  </si>
  <si>
    <t>INAMU, Fuerza Pública</t>
  </si>
  <si>
    <t xml:space="preserve">La Policía municipal de Heredia cuenta con   las herramientas adecuadas para la atención de víctimas de violencia intrafamiliar, de género y sexual que le permite evitar la revictimización de las personas ofendidas. </t>
  </si>
  <si>
    <t>Elaborar un protocolo de intervención de la policía municipal en casos de violencia doméstica.</t>
  </si>
  <si>
    <t xml:space="preserve">Desarrollar cuatro talleres de capacitación dirigidos a la policía municipal sobre: Violencia Intrafamilair, Intervención en Crisis, Protocolo de Intervención en casos de Asalto Sexual y Abusos Sexual Infantil. </t>
  </si>
  <si>
    <t>7.2.7.4.Capacitar de manera continua a la Policía Municipal sobre Violencia de Género</t>
  </si>
  <si>
    <t>Capacitaciones realizadas</t>
  </si>
  <si>
    <t>Se realizó capacitaciones 21,22,23,30 de agosto 2012</t>
  </si>
  <si>
    <t>Capacitar de manera continua a la Policía Municipal sobre Violencia de Género</t>
  </si>
  <si>
    <r>
      <t>Coordinar con la oficina de Igualdad, Equidad y Género, la capacitación de manera continua a la Policía Municipal sobre Violencia de Género.(RH)
Capacitar de manera continua a la Policía Municipal sobre Violencia de Género</t>
    </r>
    <r>
      <rPr>
        <sz val="12"/>
        <color rgb="FFFF0000"/>
        <rFont val="Arial"/>
        <family val="2"/>
      </rPr>
      <t>(Igualdad y Equidad)</t>
    </r>
  </si>
  <si>
    <t xml:space="preserve">7.2.8.Divulgar de manera permanente los derechos humanos de las mujeres contemplados en convenios internacionales y en el marco jurídico nacional.  </t>
  </si>
  <si>
    <t>7.2.8.1.Elaborar una estrategia de comunicación para la divulgación permanente de derechos humanos de las mujeres.</t>
  </si>
  <si>
    <t xml:space="preserve">Documento de Estrategia de comunicación </t>
  </si>
  <si>
    <t>UAEG, Unidad encargada de Comunicación interna y externa,</t>
  </si>
  <si>
    <t>Sector privado, universidades, Red VIF</t>
  </si>
  <si>
    <t>La Comunidad Herediana  informada y sensibilizada sobre los derechos humanos de las mujeres y la importancia del reconocimiento y respeto de éstos en la construcción de una sociedad más justa y equitativa.</t>
  </si>
  <si>
    <t>7.2.8.2.Inicio de ejecución de estrategia propuesta</t>
  </si>
  <si>
    <t>Informe de ejecución sobre la estrategia</t>
  </si>
  <si>
    <t>Inicio de ejecución de estrategia propuesta</t>
  </si>
  <si>
    <t>Inicio de ejecución de estrategia de divulgacion de derechos de las mujeres, según se planteó.</t>
  </si>
  <si>
    <t>7.2.9.Apoyar y fortalecer la coordinación interinstitucional de Prevención y atención de la Violencia Intrafamiliar</t>
  </si>
  <si>
    <t>7.2.9.1.Participar de las reuniones y actividades programadas por la Red de Atención y Prevención de la Violencia Intrafamiliar.</t>
  </si>
  <si>
    <t>Actas de la Red de Atención y Prevención de la VIF</t>
  </si>
  <si>
    <t>Red de Atención y Prevención de la Violencia Intrafamiliar</t>
  </si>
  <si>
    <t xml:space="preserve">La Municipalidad de Heredia respalda la gestión de la Red  Local de Atención y Prevención de la violencia.
Red Local posicionada y reconocida en el Cantón, contribuyendo a la transformación de la relaciones de género sin ningún tipo de violencia.
</t>
  </si>
  <si>
    <t xml:space="preserve">Participar de 12 reuniones y actividades programadas por la Red de Atención y Prevención de la Violencia Intrafamiliar </t>
  </si>
  <si>
    <t>Participar 12 reuniones y actividades programadas por la Red de Atención y Prevención de la Violencia Intrafamiliar.</t>
  </si>
  <si>
    <t>Cumplimiento 92%</t>
  </si>
  <si>
    <t>Duratne el mes de enero no se realizaron reuniones</t>
  </si>
  <si>
    <t>7.2.10.Fortalecer la  organización comunitaria de mujeres mediante la capacitación permanente en temas de liderazgo, participación política y ciudadana desde un enfoque de género.</t>
  </si>
  <si>
    <t>7.2.10.1.Brindar una capacitación anual dirigida a lideresas comunales.</t>
  </si>
  <si>
    <t>Lista de participantes y memoria del capacitación</t>
  </si>
  <si>
    <t>UAEG, CCMM, UNA (IEM), DINADECO, INAMU</t>
  </si>
  <si>
    <t>Líderes y lideresas comunales desarrollando un liderazgo no tradicional, desde criterios de solidaridad, equidad y respeto a la diversidad.</t>
  </si>
  <si>
    <t>Realiza un taller de capacitación en liderazgo político de las mujeres dirigido a lideresas comunales.</t>
  </si>
  <si>
    <t xml:space="preserve">Desarrollar un taller de capacitación sobre participación política y liderazgo de las mujeres dirigido a lideresas comunales. </t>
  </si>
  <si>
    <t>Brindar una capacitación anual sobre participación política y liderazgo de las mujeres dirigida a lideresas comunales.</t>
  </si>
  <si>
    <t>7.2.10.2.Desarrollar un encuentro anual de líderes (as) del Cantón.</t>
  </si>
  <si>
    <t>Lista de participantes y memoria del encuentro</t>
  </si>
  <si>
    <t>UAEG, CMCM, IFAM</t>
  </si>
  <si>
    <t xml:space="preserve">Realizar un encuentro de líderes y lideresas del Cantón. </t>
  </si>
  <si>
    <t>Según oficio MH-OFIM-143-2013 se reprograma apra el IV  trimestre.</t>
  </si>
  <si>
    <t>Desarrollar un encuentro anual de lideres y lideresas del Cantón</t>
  </si>
  <si>
    <t>Desarrollar un encuentro anual de líderes (as) del Cantón.</t>
  </si>
  <si>
    <t>7.2.11.Brindar herramientas para la inclusión de la perspectiva de género en la planificación del desarrollo urbano.</t>
  </si>
  <si>
    <t>7.2.11.1.Reuniones para facilitar asesoría técnica en planificación urbana con perspectiva de género</t>
  </si>
  <si>
    <t>Actas de reuniones, listas de participantes</t>
  </si>
  <si>
    <t>UAEG, Dirección Operativa, Unidad encargada de Plan Regulador</t>
  </si>
  <si>
    <t>Se cuenta con espacios planificados desde criterios de accesibilidad y equidad, que favorecen el encuentro de las personas y el desarrollo de comunidad.</t>
  </si>
  <si>
    <t>Estápendiente para reprogramar i Trim. 2014</t>
  </si>
  <si>
    <t>Participar en las reuniones para facilitar asesoría técnica en planificación urbana con perspectiva de género</t>
  </si>
  <si>
    <t>Solamente se logró coordinar una asesoría sobre tema</t>
  </si>
  <si>
    <t>no se pudo identificar a  una persona experta no se puedo coordinar dicha asesoría.</t>
  </si>
  <si>
    <t>7.2.12.Favorecer el acercamiento de los diversos grupos poblacionales del cantón con los servicios municipales</t>
  </si>
  <si>
    <t>7.2.12.1.Divulgar de manera permanente a las comunidades sobre los trámites que realiza la Municipalidad.</t>
  </si>
  <si>
    <t xml:space="preserve">Listas de participación, informes de capacitación. </t>
  </si>
  <si>
    <r>
      <t xml:space="preserve">Departamento de Tributación y Catastro, </t>
    </r>
    <r>
      <rPr>
        <sz val="11"/>
        <rFont val="Calibri"/>
        <family val="2"/>
      </rPr>
      <t>Rentas y Cobranzas</t>
    </r>
    <r>
      <rPr>
        <sz val="11"/>
        <rFont val="Calibri"/>
        <family val="2"/>
        <scheme val="minor"/>
      </rPr>
      <t>, Ingeniería y otras unidades que brindan servicios</t>
    </r>
  </si>
  <si>
    <t>La población en su conjunto se siente a gusto realizando trámites en la municipalidad.</t>
  </si>
  <si>
    <t>Divulgar de manera permanente a las comunidades sobre los tramites que realiza la municipalidad</t>
  </si>
  <si>
    <t>Divulgar de manera permanente a las comunidades sobre los trámites que realiza la Municipalidad, mediante la realización de 4 campañas publicitarias</t>
  </si>
  <si>
    <t>Divulgar de manera permanente a las comunidades sobre los trámites que realiza la Municipalidad.</t>
  </si>
  <si>
    <t>Realizar tres campañas para divulgar de manera permanente a las comunidades sobre los trámites que realiza la Municipalidad.</t>
  </si>
  <si>
    <t>LP 7.3.  Asegurar y promover el pleno ejercicio  de todos los derechos humanos y libertades fundamentales de las personas con discapacidad en el cantón central de Heredia.</t>
  </si>
  <si>
    <t>LP 7.3.1. a LP 7.3.8. Realizar al menos ocho proyectos que  aseguren y promuevan  el pleno ejercicio  de todos los derechos humanos y libertades fundamentales de las personas con discapacidad en el cantón central de Heredia.</t>
  </si>
  <si>
    <t>7.3. Programa : Política Municipal de Accesibilidad</t>
  </si>
  <si>
    <t>Asegurar y promover el pleno ejercicio  de todos los derechos humanos y libertades fundamentales de las personas con discapacidad en el cantón central de Heredia.</t>
  </si>
  <si>
    <t>7.3.1.Apoyar la gestión de Centros Diurnos de Atención Especializados para personas con Discapacidad de diferentes edades.</t>
  </si>
  <si>
    <t xml:space="preserve">7.3.1.1.Realizar un diagnóstico, desde la perspectiva de género, de las necesidades e intereses de las personas que asisten a Centros Diurnos para personas con Discapacidad. </t>
  </si>
  <si>
    <t>UAEG – Departamento de Planificación y Unidad Administrativa responsable de Desarrollo Social, Comisión Municipal de Accesibilidad</t>
  </si>
  <si>
    <t>Concejo Nacional de Rehabilitación y Educación Especial. Asociaciones de Desarrollo</t>
  </si>
  <si>
    <t>La Municipalidad de Heredia asume un papel protagónico y apoya la gestión de las entidades que brindan atención integral a las personas con capacidades diversas.</t>
  </si>
  <si>
    <t xml:space="preserve">Realizar un diagnóstico, desde la perspectiva de género de las necesidades e intereses de las personas que asisten a Centros Diurnos para personas con Discapacidad. </t>
  </si>
  <si>
    <t>En diciembre 2012 se adjudicó a la empresa Lao Markenting e iniciaron el proceso de investigación.  En la contratación se incluyó la elaboración del diagnóstico, el plan estrategico, la política de Accesibilidad y la Estrategia de Empleo.</t>
  </si>
  <si>
    <t xml:space="preserve">7.3.1.2.Elaborar un plan estratégico conjunto Municipalidad y Centro para la atención de las necesidades identificadas. </t>
  </si>
  <si>
    <t>No se ha podido implementar debido a que  la epresa consultora no ha entregado informe final</t>
  </si>
  <si>
    <t>Meta 2013 cumplida</t>
  </si>
  <si>
    <t>7.3.1.3.Desarrollar plan de trabajo vinculado al plan estratégico elaborado.</t>
  </si>
  <si>
    <t>Informes de Acciones realizadas</t>
  </si>
  <si>
    <t xml:space="preserve">Implementar un plan estratégico conjunto Municipalidad y Centros Diurnos para atención de las necesidades identificadas. </t>
  </si>
  <si>
    <t>Apoyar la gestión de Centros Diurnos de Atención Especializados para personas con Discapacidad de diferentes edades.</t>
  </si>
  <si>
    <t>100%, se logró conlcuir el plan</t>
  </si>
  <si>
    <t>7.3.2.Diagnóstico  de las necesidades de las personas con discapacidad del cantón central de Heredia.</t>
  </si>
  <si>
    <t>7.3.2.1.Realizar el diagnóstico de las necesidades de las personas con discapacidad del cantón Central de Heredia</t>
  </si>
  <si>
    <r>
      <t xml:space="preserve">Comisión Accesibilidad, </t>
    </r>
    <r>
      <rPr>
        <sz val="11"/>
        <rFont val="Calibri"/>
        <family val="2"/>
      </rPr>
      <t>Oficina de la Mujer</t>
    </r>
    <r>
      <rPr>
        <sz val="11"/>
        <rFont val="Calibri"/>
        <family val="2"/>
        <scheme val="minor"/>
      </rPr>
      <t xml:space="preserve">, Planificación, </t>
    </r>
    <r>
      <rPr>
        <sz val="11"/>
        <rFont val="Calibri"/>
        <family val="2"/>
      </rPr>
      <t>Contraloría Servicios</t>
    </r>
  </si>
  <si>
    <t>MEP, MINISTERIO DE SALUD, CCSS,  PANI, ONG´S DE PERSONAS CON DISCAPACIDAD, ASOCIACIONES DE DESARROLLO Y OTRAS ORGANIZACIONES DE LA SOCIEDAD CIVIL, BANCO NACIONAL DE COSTA RICA,  BANCO POPULAR, UNIVERSIDADES, CENTROS COMERCIALES.</t>
  </si>
  <si>
    <t xml:space="preserve">Necesidades identificadas que permitan la formulación de un plan de desarrollo para atenderlas. </t>
  </si>
  <si>
    <t>Realizar un diagnóstico de las necesidades de las personas con discapacidad del Cantón Central de Heredia.                                                                  -Realizar el diagnóstico de las necesidades de las personas con discapacidad del Cantón Central de Heredia</t>
  </si>
  <si>
    <t>7.3.3.Elaborar  y ejecutar un plan cantonal de promoción del desarrollo de las personas con discapacidad que involucre a los diversos sectores  públicos y privados según su competencia.</t>
  </si>
  <si>
    <t xml:space="preserve">7.3.3.1.Articular esfuerzos y competencias de instituciones gubernamentales y no gubernamentales  en la formulación de un plan de promoción del desarrollo de las personas con discapacidad del cantón central de Heredia. </t>
  </si>
  <si>
    <t>Plan elaborado</t>
  </si>
  <si>
    <t>Comisión Accesibilidad, Oficina de la Mujer</t>
  </si>
  <si>
    <t xml:space="preserve">MEP, MINISTERIO DE SALUD, CCSS,  PANI, ONG´S DE PERSONAS CON DISCAPACIDAD, ASOCIACIONES DE DESARROLLO Y OTRAS ORGANIZACIONES DE LA SOCIEDAD, CIVIL, BANCO NACIONAL DE COSTA RICA,  BANCO POPULAR, UNIVERSIDADES, CENTROS COMERCIALES, MOPT, CNREE. </t>
  </si>
  <si>
    <t xml:space="preserve">Responsabilidades y competencias gubernamentales y no gubernamentales  definidas y comprometidas. </t>
  </si>
  <si>
    <t>El Plan se concluyo</t>
  </si>
  <si>
    <t xml:space="preserve">7.3.3.2.Puesta en ejecución del plan  de promoción del desarrollo de las personas con discapacidad del cantón central de Heredia. </t>
  </si>
  <si>
    <t>Plan ejecutado</t>
  </si>
  <si>
    <t>Comisión Accesibilidad, Oficina de la Mujer, Contralorías Servicios</t>
  </si>
  <si>
    <t xml:space="preserve">Atención de necesidades según las competencias de diferentes sectores institucionales y comunitarios, con enfoque de calidad y derechos humanos. </t>
  </si>
  <si>
    <t xml:space="preserve">Ejecución en al menos un 25% de Plan de Promoción de las personas con discapacidad del Cantón Central de Heredia. </t>
  </si>
  <si>
    <t>Se incluye en varias dependencias</t>
  </si>
  <si>
    <t>Esta distribuída en varias metas</t>
  </si>
  <si>
    <t>7.3.4.Desarrollar  una estrategia de  promoción del empleo para personas con discapacidad del cantón central de Heredia.</t>
  </si>
  <si>
    <t xml:space="preserve">7.3.4.1.Articular esfuerzos y competencias de instituciones gubernamentales y no gubernamentales del cantón central de Heredia, responsables de garantizar el empleo de personas con discapacidad. </t>
  </si>
  <si>
    <t>Estrategia y plan elaborados</t>
  </si>
  <si>
    <r>
      <t xml:space="preserve">Comisión Accesibilidad, </t>
    </r>
    <r>
      <rPr>
        <sz val="11"/>
        <rFont val="Calibri"/>
        <family val="2"/>
      </rPr>
      <t>Recursos Humanos</t>
    </r>
  </si>
  <si>
    <t>MTSS, INA, MEP, CAMARAS EMPRESARIALES, CNREE</t>
  </si>
  <si>
    <t>Oferta y demanda de empleo de personas con discapacidad atendida de manera ágil.</t>
  </si>
  <si>
    <t>Elaborar una estrategia y Plan  para la promoción del empleo para personas con discapacidad del Cantón Central de Heredia.(7.3.4.1)</t>
  </si>
  <si>
    <t>Propicial un Desayuno empresarial para propiciar la contratación de personas con discapacidad</t>
  </si>
  <si>
    <t>7.3.4.2.Estrategia y plan de promoción de empleo de las personas con discapacidad en ejecución.</t>
  </si>
  <si>
    <t>Estrategia y plan  ejecutado.</t>
  </si>
  <si>
    <t>Comisión Accesibilidad, Recursos Humanos</t>
  </si>
  <si>
    <t>CNREE</t>
  </si>
  <si>
    <t>Cumplimiento 2013 100%</t>
  </si>
  <si>
    <t>Realizar 1 capacitaciones anuales sobre figuras de organizaciones, cooperativas y asociaciones.Propicial un Desayuno empresarial para propiciar la contratación de personas con discapacidad</t>
  </si>
  <si>
    <t>Metas incluidas Plan Discapacidad</t>
  </si>
  <si>
    <t xml:space="preserve">7.3.5. Análisis y verificación de la perspectiva de la accesibilidad en las normas internas que regulan el otorgamiento de toda clase de permisos y licencias que otorga la municipalidad para garantizar el cumplimiento de la ley 7600. </t>
  </si>
  <si>
    <t>7.3.5.1.Realizar la revisión de la perspectiva de la discapacidad y accesibilidad incorporada  en la normativa interna de la municipalidad, que regula el otorgamiento de toda clase de permisos y licencias tal y como lo establece la ley 7600 y su reglamento.</t>
  </si>
  <si>
    <t xml:space="preserve">Normativa revisada y ajustada a los lineamientos de la ley 7600 y su reglamento. </t>
  </si>
  <si>
    <t>Comisión Accesibilidad, Dirección Jurídica, Control Interno</t>
  </si>
  <si>
    <t>MINISTERIO DE SALUD, INVU, COLEGIO DE INGENIEROS Y ARQUITECTOS, CNREE</t>
  </si>
  <si>
    <t>Perspectiva de la discapacidad y la accesibilidad en la normativa municipal, que le facilite a la municipalidad  cumplir y verificar el cumplimiento de la ley 7600 de conformidad con lo que establece la ley 7600.</t>
  </si>
  <si>
    <t>Ya se concluyó 2012 según oficio DAJ-0296-2012</t>
  </si>
  <si>
    <t xml:space="preserve">7.3.6.Creación de una base de datos con recursos humanos e instituciones, en formatos accesibles para todas las personas. </t>
  </si>
  <si>
    <t>7.3.6.1.Información sobre servicios y recursos del cantón de Heredia disponible a todas las personas especialmente las que enfrentan discapacidad.</t>
  </si>
  <si>
    <t xml:space="preserve">Base de datos accesible disponible en diversos formatos: página web, digital, auditivo, otros. </t>
  </si>
  <si>
    <r>
      <t>Comisión Accesibilidad, Dirección Servicios y Gestión Ingresos,</t>
    </r>
    <r>
      <rPr>
        <sz val="11"/>
        <color rgb="FFFF0000"/>
        <rFont val="Calibri"/>
        <family val="2"/>
      </rPr>
      <t xml:space="preserve"> Cómputo</t>
    </r>
  </si>
  <si>
    <t>MEP, MINISTERIO DE SALUD, CCSS,  PANI, ONG´S DE PERSONAS CON DISCAPACIDAD, ASOCIACIONES DE DESARROLLO Y OTRAS ORGANIZACIONES DE LA SOCIEDAD, CIVIL, BANCO NACIONAL DE COSTA RICA,  BANCO POPULAR, UNIVERSIDADES, CENTROS COMERCIALES, MOPT, UNA, CNREE.</t>
  </si>
  <si>
    <t>Que diferentes sectores de la comunidad, principalmente las personas con discapacidad, dispongan de información accesible sobre servicios y recursos disponible para atender  sus necesidades, de conformidad con lo que establece la ley 7600</t>
  </si>
  <si>
    <t>Actualizar el sitio web con información sobre servicios y recursos del cantón de Heredia disponible a todas las personas especialmente las que enfrentan discapacidad, y suministrada por los diferentes departamentos.</t>
  </si>
  <si>
    <t>Publicar en el sitio web la información que aporte la Comisión de Accesibilidad.</t>
  </si>
  <si>
    <t>7.3.7.Apoyar el desarrollo de servicios que brindan organizaciones no gubernamentales a personas con discapacidad en el cantón central de Heredia.</t>
  </si>
  <si>
    <t>7.3.7.1.Identificación de necesidades de recurso de las organizaciones del cantón central de Heredia que brindan servicios a personas con discapacidad.</t>
  </si>
  <si>
    <t>Necesidades de recursos identificadas.</t>
  </si>
  <si>
    <t xml:space="preserve">ONG´S QUE ATIEENDEN  PERSONAS CON DISCAPACIDAD, CONCEJOS DE DISTRITOS, ASOCIACIONES DE DESARROLLO, </t>
  </si>
  <si>
    <t>Apoyar el desarrollo de organizaciones  en la atención de personas con discapacidad del cantón de Heredia</t>
  </si>
  <si>
    <t>7.3.7.2.Elaboración de un plan de apoyos a las ONG del cantón de Heredia, con la participación de entidades públicas representadas en el municipio,  tomando en cuenta sus competencias.</t>
  </si>
  <si>
    <t>Plan de apoyos elaborado.</t>
  </si>
  <si>
    <t>Incorporar necesidades de apoyo en presupuestos y planificación municipal</t>
  </si>
  <si>
    <t>7.3.7.3.Implementación Plan de Apoyos</t>
  </si>
  <si>
    <t>Plan de apoyos ejecutado.</t>
  </si>
  <si>
    <t xml:space="preserve">ONG´S QUE ATIENDEN  PERSONAS CON DISCAPACIDAD, CONCEJOS DE DISTRITOS, ASOCIACIONES DE DESARROLLO, </t>
  </si>
  <si>
    <t xml:space="preserve">Ejecución en almenos un 25% de plan de apoyos a las ONG del Cantón Central de Heredia, con la participación de entidades públicas representadas en el municipio tomando enc uenta sus competencias. </t>
  </si>
  <si>
    <t xml:space="preserve">Ejecución en al menos un 25% de Plan de Apoyo a las ONGs del Cantón Central de Heredia, con la participación de entidades públicas representadas en el municipio tomando en cuenta sus competencias. </t>
  </si>
  <si>
    <t xml:space="preserve">7.3.8. Fiscalizar y exigir el cumplimiento pleno de las disposiciones de la ley 7600 y su reglamento, en la revisión de planos, permisos de construcción, otorgamientos de patentes y cualquier otra autorización similar.  </t>
  </si>
  <si>
    <t xml:space="preserve">7.3.8.1.En la revisión del 100% de planos,  permisos de construcción, otorgamiento de patentes y otras autorizaciones similares,  se fiscalizará el cumplimiento de la ley 7600 y su reglamento. </t>
  </si>
  <si>
    <t>Fiscalización efectuada en las solicitudes de cualquier tipo de autorizaciones.</t>
  </si>
  <si>
    <r>
      <t>Comisión Accesibilidad, Depto. De Ingeniería y</t>
    </r>
    <r>
      <rPr>
        <sz val="11"/>
        <rFont val="Calibri"/>
        <family val="2"/>
      </rPr>
      <t xml:space="preserve"> Depto. Rentas y Cobranzas</t>
    </r>
  </si>
  <si>
    <t>MINISTERIO DE SALUD, INVU, COLEGIO DE INGENIEROS Y ARQUITECTOS.</t>
  </si>
  <si>
    <t xml:space="preserve">Cumplimiento de la ley 7600 y otras normas. </t>
  </si>
  <si>
    <t>Revision del 100% de otorgamiento de patentes y autorizaciones similares, se fiscalizara el cumplimiento de la Ley 7600 y su reglamento</t>
  </si>
  <si>
    <t xml:space="preserve">Realizar  600  revisisiones para verificar que en  el  otorgamiento de patentes y otras autorizaciones similares,  se fiscalizará el cumplimiento de la ley 7600 y su reglamento. </t>
  </si>
  <si>
    <t xml:space="preserve">Revisión de 600 otorgamiento de patentes y otras autorizaciones similares,  se fiscalizará el cumplimiento de la ley 7600 y su reglamento. </t>
  </si>
  <si>
    <t xml:space="preserve">Inspeccion de 600 otorgamiento de patentes y otras autorizaciones similares, en los cuales se fiscalizará el cumplimiento de la ley 7600 y su reglamento. </t>
  </si>
  <si>
    <t>Realizar 1500 actividades de fiscalizacion, inspeccion, revision, segumienton en el otorgamiento de licencias comerciales, constructicas y otras autorizaciones similares, en los cuales se fiscalizará el cumplimiento de la ley 7600 y su reglamento,  incluyen la inspección, notificación, verificación de cumplimiento de la notificación y seguimiento de los estableciimientos  comerciales que brindan servicios al público en materia de accesibilidad de acuerdo a sus posibilidades</t>
  </si>
  <si>
    <r>
      <t xml:space="preserve">7.3.8.2.Se inspeccionará el </t>
    </r>
    <r>
      <rPr>
        <sz val="11"/>
        <color rgb="FFFF0000"/>
        <rFont val="Calibri"/>
        <family val="2"/>
        <scheme val="minor"/>
      </rPr>
      <t>6%</t>
    </r>
    <r>
      <rPr>
        <sz val="11"/>
        <rFont val="Calibri"/>
        <family val="2"/>
        <scheme val="minor"/>
      </rPr>
      <t xml:space="preserve"> anual del total de establecimientos que brindan servicios al público, cuyas autorizaciones fueron otorgadas antes de diciembre de 2010,  a fin de determinar  el cumplimiento  o no de las especificaciones de la ley 7600 y su reglamento en materia de accesibilidad. </t>
    </r>
    <r>
      <rPr>
        <sz val="11"/>
        <color rgb="FFFF0000"/>
        <rFont val="Calibri"/>
        <family val="2"/>
        <scheme val="minor"/>
      </rPr>
      <t>(SE MDOFIFICÓ META Y SE INTEGRO EN UNA SOLA)</t>
    </r>
  </si>
  <si>
    <t>Inspecciones efectuadas y documentadas.</t>
  </si>
  <si>
    <t>Dpto. de Ingeniería y Depto. Rentas y Cobranzas</t>
  </si>
  <si>
    <t xml:space="preserve">Se inspeccionará un total de 1500 establecimientos que brindan servicios al público, cuyas autorizaciones fueron otorgadas antes de diciembre de 2010,  a fin de determinar  el cumplimiento  o no de las especificaciones de la ley 7600 y su reglamento en materia de accesibilidad. </t>
  </si>
  <si>
    <t>Con el recurso humano con el que cuenta el Departamento de Rentas y Cobranzas únicamente se pudo realizar este porecentaje del total programado, considerando las decalraación jurada de los formularios de patentes.</t>
  </si>
  <si>
    <t>Se inspeccionará un total de 400 establecimientos que brindan servicios al público, cuyas autorizaciones fueron otorgadas antes de diciembre de 2010,  a fin de determinar  el cumplimiento  o no de las especificaciones de la ley 7600 y su reglamento en materia de accesibilidad. (Cambio Prog. POA)</t>
  </si>
  <si>
    <r>
      <t xml:space="preserve">7.3.8.3.Envío de una notificación a los propietarios de establecimientos que no cumplen con las especificaciones de accesibilidad de la ley 7600 y su reglamento, a fin de que efectúen en un tiempo prudencial  las adecuaciones pertinentes. </t>
    </r>
    <r>
      <rPr>
        <sz val="11"/>
        <color rgb="FFFF0000"/>
        <rFont val="Calibri"/>
        <family val="2"/>
        <scheme val="minor"/>
      </rPr>
      <t>(SE MDOFIFICÓ META Y SE INTEGRO EN UNA SOLA)</t>
    </r>
  </si>
  <si>
    <t>Notificaciones enviadas.</t>
  </si>
  <si>
    <r>
      <rPr>
        <sz val="11"/>
        <rFont val="Calibri"/>
        <family val="2"/>
      </rPr>
      <t>Rentas y Cobranzas</t>
    </r>
    <r>
      <rPr>
        <sz val="11"/>
        <rFont val="Calibri"/>
        <family val="2"/>
        <scheme val="minor"/>
      </rPr>
      <t>, Dirección Operaciones</t>
    </r>
  </si>
  <si>
    <t xml:space="preserve">Envío de 1500 notificaciones los propietarios de establecimientos que no cumplen con las especificaciones de accesibilidad de la ley 7600 y su reglamento, a fin de que efectúen en un tiempo prudencial  las adecuaciones pertinentes. </t>
  </si>
  <si>
    <t>Envío de 400 notificaciónes a los propietarios de establecimientos que no cumplen con las especificaciones de accesibilidad de la ley 7600 y su reglamento, a fin de que efectúen en un tiempo prudencial  las adecuaciones pertinentes. (Cambio Prog. POA)</t>
  </si>
  <si>
    <r>
      <t>7.3.8.4.Inspeccionar el cumplimiento de la ley 7600 y su reglamentos en los establecimientos notificados.</t>
    </r>
    <r>
      <rPr>
        <sz val="11"/>
        <color rgb="FFFF0000"/>
        <rFont val="Calibri"/>
        <family val="2"/>
        <scheme val="minor"/>
      </rPr>
      <t>(SE MDOFIFICÓ META Y SE INTEGRO EN UNA SOLA)</t>
    </r>
  </si>
  <si>
    <t>Inspecciones realizadas.</t>
  </si>
  <si>
    <t>MINISTERIO DE SALUD</t>
  </si>
  <si>
    <t>Inspeccionar el cumplimiento de la ley 7600 y su reglamentos en 1500 establecimientos notificados.</t>
  </si>
  <si>
    <t>Realizar 400 inspecciones para dar cumplimiento de la ley 7600 y su reglamentos en los establecimientos notificados.(Cambio Prog. POA)</t>
  </si>
  <si>
    <r>
      <t xml:space="preserve">7.3.8.2.Realizar el proceso de inspección, fiscalización y seguimiento al </t>
    </r>
    <r>
      <rPr>
        <sz val="11"/>
        <color rgb="FFFF0000"/>
        <rFont val="Calibri"/>
        <family val="2"/>
        <scheme val="minor"/>
      </rPr>
      <t>5%</t>
    </r>
    <r>
      <rPr>
        <sz val="11"/>
        <rFont val="Calibri"/>
        <family val="2"/>
        <scheme val="minor"/>
      </rPr>
      <t xml:space="preserve">  anual del total de establecimientos que brindan servicios al público, cuyas autorizaciones fueron otorgadas antes de diciembre 2010, a fin de determinar si es posible o no el cumplimiento de la accesibilidad conforme la ley 7600 y su reglamento, bajo los principios de proporcionalidad, razonabilidad, oportunidad y conveniencia, y los criterios de costo/beneficio, la posibilidad real, material, técnica, espacial, analizando y valorando cada caso en particular</t>
    </r>
  </si>
  <si>
    <t xml:space="preserve">Realizar 300 procesos de fiscalizacion de la ley 7600 y su reglamento que incluyen la inspección, notificación y verificación de cumplimiento de la notificación a estableciimientos  comerciales que brindan servicios al público, cuyas patentes fueron autorizadas antes de diciembre 2010 con el fin de determinar el cumplimiento la ley 7600 y su reglamento en materia de accesibilidad. </t>
  </si>
  <si>
    <t>Realizar 1500 actividades de fiscalizacion, inspeccion, revision, segumienton en el otorgamiento de licencias comerciales, constructicas y otras autorizaciones similares, en los cuales se fiscalizará el cumplimiento de la ley 7600 y su reglamento</t>
  </si>
  <si>
    <t>7.4. Educación</t>
  </si>
  <si>
    <t>Dotar de recursos que contribuyan a mejorar la infraestructura y las herramientas con que cuentas las instituciones  con el fin de facilitar el desarrollo de la educación  de la ciudadanía herediana.</t>
  </si>
  <si>
    <t>7.4.1.Fortalecimiento  de la educación herediana, por medio de la asignación de recursos.</t>
  </si>
  <si>
    <t>7.4.1.Asignar recursos a través de las Juntas de Educación y Administrativas que faciliten le desarrollo de la educación .</t>
  </si>
  <si>
    <t>Recursos asignados</t>
  </si>
  <si>
    <t>Concejo Municipal</t>
  </si>
  <si>
    <t>Contar con instalaciones adecuadas.</t>
  </si>
  <si>
    <t>Girar  ¢38,811,736,00  a Juntas de Educación y Administrativas de Escuelas y Colegios para la ejecución de proyectos de interés de las comunidades.</t>
  </si>
  <si>
    <t>Presupuesto Participativo</t>
  </si>
  <si>
    <t>Girar  ¢122,223,409 a Juntas de Educación y Administrativas de Escuelas y Colegios para la ejecución de proyectos de interés asignados por medio del Proceso de Presupuesto Participativo.</t>
  </si>
  <si>
    <t>Se asigna por medio de presupuseto Participativo</t>
  </si>
  <si>
    <t>4. Mejorar la calidad de la salud de los habitantes del Cantón Primero de Heredia mediante un programa salud preventiva y reactiva</t>
  </si>
  <si>
    <t>LP 7.5.  Desarrollar programas deportivos, culturales y recreativos.</t>
  </si>
  <si>
    <t>LP 7.5.1.1.  Un programa integral de desarrollo deportivo, cultural y recreativo aprobado al 31 de diciembre de 2012.</t>
  </si>
  <si>
    <t>7.5. Desarrollar programas deportivos, culturales y recreativos.</t>
  </si>
  <si>
    <t xml:space="preserve">7.5.1.Programa integral de desarrollo deportivo, cultural y recreativo </t>
  </si>
  <si>
    <t>7.5.1.1.Crear un  programa integral de desarrollo deportivo, cultural y recreativo aprobado al 31 de diciembre de 2012.</t>
  </si>
  <si>
    <t>Se realizaron actividades deportivas y culturales en los Domingos Heredianos por Media Calle</t>
  </si>
  <si>
    <t>Cumplimiento 50% 2013</t>
  </si>
  <si>
    <t>LP 7.5.1.2. Un convenio de coordinación para promoción de desarrollo deportivo de bajo impacto, cultural y recreativo formalizado con el ICODER y con la UNA a junio 2013.</t>
  </si>
  <si>
    <t>7.5.1.2.Realizar un convenio de coordinación para promoción de desarrollo deportivo de bajo impacto, cultural y recreativo formalizado con el ICODER y con la UNA a junio 2013.</t>
  </si>
  <si>
    <t xml:space="preserve">Convenio formalizado </t>
  </si>
  <si>
    <t>ICODER,UNA MINISTERIO DE CULTURA, MINISTERIO DE SALUD, MINISTERIO EDUCACIÓN CCSS</t>
  </si>
  <si>
    <t xml:space="preserve">Mejodra la calidad de la salud </t>
  </si>
  <si>
    <t>LP 7.5.1.3.  Al menos 2 actividades deportivas masivas-no comerciales- anuales realizadas en los distritos del cantón central, a partir de enero 2012.</t>
  </si>
  <si>
    <t>7.5.1.3.Realizar al menos 2 actividades deportivas masivas-no comerciales- anuales realizadas en los distritos del cantón central, a partir de enero 2012.</t>
  </si>
  <si>
    <t>No. actividades realizadas</t>
  </si>
  <si>
    <t>Se realizaron actividades deportivas como carrreras, caminatas y la Caminata Canina.</t>
  </si>
  <si>
    <t>Promover la realización de 5 eventos de acuerdo al proyecto Domingos Heredianos por media calle .</t>
  </si>
  <si>
    <t xml:space="preserve">Promover el desarrollo de 2 actividades deportivas de bajo rendimiento para los distritos del canton </t>
  </si>
  <si>
    <t>Promover el desarrollo de 2 actividades deportivas de bajo rendimiento para los distritos del cantón.</t>
  </si>
  <si>
    <t>LP 7.5.1.4.  Al menos 25 personas participan bimestralmente en actividades deportivas de bajo rendimiento en los distritos del cantón.</t>
  </si>
  <si>
    <t>7.5.1.4. Al menos 25 personas participan bimestralmente en actividades deportivas de bajo rendimiento en los distritos del cantón.</t>
  </si>
  <si>
    <t>No. personas que participan</t>
  </si>
  <si>
    <t>Actividad denominada Heredia Mía, comprende actividdes deportivas, culturales y sociales en diferentes distritos del cantón.</t>
  </si>
  <si>
    <t xml:space="preserve">Promover la realización de 5 eventos de acuerdo al proyecto Heredia Mía  y Carrera del Cancer de Mama Heredia enlaza la Vida. </t>
  </si>
  <si>
    <t>Promover el desarrollo de actividades deportivas de bajo rendimiento como parte del proyecto "Heredia Mía"</t>
  </si>
  <si>
    <t xml:space="preserve">Dentro de las actividades se encontraba programada la Carrera del cáncer de Mama la cual  fue coordinada por la ESPH, ya que la Municipalidad está en un proceso de elaboración de un manual de procedimientos para este tipo de actividades y otras  carreras  programadas. </t>
  </si>
  <si>
    <t>Promover la realización de 5 eventos de acuerdo al proyecto Heredia Mía y Carrera del Cáncer de Mama Heredia enlaza la Vida.</t>
  </si>
  <si>
    <t>Mejorar la calidad de la salud de los habitantes del Cantón Primero de Heredia mediante un programa salud preventiva y reactiva</t>
  </si>
  <si>
    <t>LP 7.6.  Coordinar programas para mejorar hábitos de alimentación de la comunidad.</t>
  </si>
  <si>
    <t>LP 7.6.1.1. Un programa integral de mejoramiento de hábitos de alimentación  aprobado al 31 de diciembre de 2012.</t>
  </si>
  <si>
    <t>7.6. Coordinar programas para mejorar hábitos de alimentación de la comunidad.</t>
  </si>
  <si>
    <t xml:space="preserve">7.6.1. Programa integral de mejoramiento de hábitos de alimentación  </t>
  </si>
  <si>
    <t>7.6.1.1.Crear un  programa integral de mejoramiento de hábitos de alimentación  aprobado al 31 de diciembre de 2012.</t>
  </si>
  <si>
    <t>MINISTERIO DE SALUD, CCSS, SOCIEDAD CIVIL, MAG, PIMA FAO</t>
  </si>
  <si>
    <t>Charlas de nutrición a escuelas y colegios del cantón, se traba en conjunto con el MEP, Casa de la Justicia y Ministerio de Salud</t>
  </si>
  <si>
    <t>LP 7.6.1.2.  Un convenio formalizado con la CCSS para la vida saludable y prevención de la salud a junio 2012.</t>
  </si>
  <si>
    <t>7.6.1.2.Un convenio formalizado con la CCSS para la vida saludable y prevención de la salud a junio 2012.</t>
  </si>
  <si>
    <t>Se han realizado reuniones de coordinación para realizar diversas actividades, pero no se ha formalizado el convenio en este año, pero queda pendiente para 2013</t>
  </si>
  <si>
    <t>Según oficio VMH-052-2013 la meta se cumplió durante el I trimestre 2013</t>
  </si>
  <si>
    <t>LP 7.6.1.3.  Al menos 25 personas participan bimestralmente en los programas de vida saludable y prevención de la salud en coordinación con la CCSS, a parir de julio 2012.</t>
  </si>
  <si>
    <t>7.6.1.3. Al menos 25 personas participan bimestralmente en los programas de vida saludable y prevención de la salud en coordinación con la CCSS, a parir de julio 2012.</t>
  </si>
  <si>
    <t>Diversas fereias d ela Salud a nIvel cantonal y alos funcioanrios de la Municipalidad</t>
  </si>
  <si>
    <t>Realizar 2 talleres para la promoción de la salud y la prevención con adolescentes.</t>
  </si>
  <si>
    <t>Un taller sobre promoción de la salud en las comunidades.</t>
  </si>
  <si>
    <t>LP 7.6.1.4.   Un convenio formalizado con el MEP para la educación en salud preventiva a las comunidades del cantón de Heredia, a diciembre 2012.</t>
  </si>
  <si>
    <t>7.6.1.4. Formalizar un  convenio con el MEP para la educación en salud preventiva a las comunidades del cantón de Heredia, a diciembre 2012.</t>
  </si>
  <si>
    <t>Se han realizado reuniones de coordinación con el IAFA, MEP, Casa de la Justicia, y el Ministerio de Salud para ralizar diversas activiades, pero queda pendiente la formalización del convenio.</t>
  </si>
  <si>
    <t>LP 7.6.1.5.  Al menos 25 personas participan bimestralmente en los programas de educación en vida saludable en coordinación con el MEP, a parir de enero 2013.</t>
  </si>
  <si>
    <t>7.6.1.5. Al menos 25 personas participan bimestralmente en los programas de educación en vida saludable en coordinación con el MEP, a parir de enero 2013.</t>
  </si>
  <si>
    <t>Se realizaó una Campaña contra el Dengue en conjunto con el Ministerio de Salud, MEP, Casa de la Justicia y CCSS</t>
  </si>
  <si>
    <t>Realizar un taller dirigido a niños y niñas de una escuela pública  sobre alimentación saludable en el marco del Día Mundial de la Alimentación.</t>
  </si>
  <si>
    <t>LP 7.7.  Formular e impulsar una propuesta cantonal que promueva la optimización del sistema de acceso a la salud pública.</t>
  </si>
  <si>
    <t>LP 7.7.1. Una propuesta cantonal que promueva la optimización del sistema de acceso a la salud pública, aprobada por las diferentes Entidades responsables del tema al 31 de diciembre de 2013.</t>
  </si>
  <si>
    <t>7.7.  Formular e impulsar una propuesta cantonal que promueva la optimización del sistema de acceso a la salud pública.</t>
  </si>
  <si>
    <t>7.7.1.Propuesta cantonal que promueva la optimización del sistema de acceso a la salud pública, aprobada por las diferentes Entidades responsables del tema al 31 de diciembre de 2013.</t>
  </si>
  <si>
    <t>7.7.1.1. Formular una propuesta cantonal que promueva la optimización del sistema de acceso a la salud pública, aprobada por las diferentes Entidades responsables del tema al 31 de diciembre de 2013.</t>
  </si>
  <si>
    <t>Propuesta formulada</t>
  </si>
  <si>
    <t>MINISTERIO DE SALUD, CCSS, SOCIEDAD CIVIL.</t>
  </si>
  <si>
    <t>Creación de una propuesta que proomueva la optimización del sistema de acceso a la salud pública</t>
  </si>
  <si>
    <t>LP 7.1.2.  Al menos 25 personas participan bimestralmente en los programas de educación para el acceso a la salud pública en coordinación con la CCSS y el Ministerio de Salud, a parir de julio 2012.</t>
  </si>
  <si>
    <t>7.7.2. Participación en los programas de educación para el acceso a la salud pública en coordinación con la CCSS y el Ministerio de Salud</t>
  </si>
  <si>
    <t>7.7.2.1. Al menos 25 personas participan bimestralmente en los programas de educación para el acceso a la salud pública en coordinación con la CCSS y el Ministerio de Salud, a parir de julio 2012.</t>
  </si>
  <si>
    <t xml:space="preserve">Realizar 2 ferias de la Salud  con el fin de promover el acceso a la salud pública a nivel institucional y cantonal </t>
  </si>
  <si>
    <t>No se realizó una de las ferias de la salud a raiz de la epidemia que hubo del dengue por lo tanto el Ministerio de Salud y la CCSS se dedicaron  por completo a la campaña, pero en la Fería que se realizó hubo participación comunidad</t>
  </si>
  <si>
    <t>6. Mejorar la calidad de la educación a través de infraestructura adecuada y programas especializados</t>
  </si>
  <si>
    <t>LP 7.4 y LP 7.8. Coordinar con el Ministerio de Educación Pública el mejoramiento de la infraestructura de escuelas y colegios del cantón.</t>
  </si>
  <si>
    <t>LP 7.8.1.1. Un plan de mejoramiento y mantenimiento de la infraestructura de los Centros Educativos del Cantón formulado a diciembre 2013.</t>
  </si>
  <si>
    <t>7.8.  Coordinar con el Ministerio de Educación Pública el mejoramiento de la infraestructura de escuelas y colegios del cantón.</t>
  </si>
  <si>
    <t xml:space="preserve">7.8.1. Plan de mejoramiento y mantenimiento de la infraestructura de los Centros Educativos del Cantón </t>
  </si>
  <si>
    <t>7.8.1.1. Formular un  plan de mejoramiento y mantenimiento de la infraestructura de los Centros Educativos del Cantón formulado a diciembre 2013.</t>
  </si>
  <si>
    <t>CONCEJOS DE DISTRITO, JUNTAS DE EDUCACIÓN, MEP, EMPRESA PRIVADA</t>
  </si>
  <si>
    <t>Mejora la calidad de la educación</t>
  </si>
  <si>
    <t>LP 7.8.1.2.  Al menos un Centro Educativo por año, es intervenido integralmente para recuperar y/o mejorar su infraestructura física, a partir de enero de 2014.</t>
  </si>
  <si>
    <r>
      <t xml:space="preserve">7..8.1.2. Al menos un Centro Educativo por año, es intervenido integralmente para recuperar y/o mejorar su infraestructura física, a partir de enero de 2014.( SE CAMBIA META) </t>
    </r>
    <r>
      <rPr>
        <sz val="11"/>
        <rFont val="Calibri"/>
        <family val="2"/>
        <scheme val="minor"/>
      </rPr>
      <t>Asignar recursos anualmente para que los centros educativos realicen mejoras de infraestructura.</t>
    </r>
  </si>
  <si>
    <t>Actividad realizada</t>
  </si>
  <si>
    <t xml:space="preserve">Un centro educativo del Cantón Central es intervenido de manera integral para recuperar su infraestructura física. </t>
  </si>
  <si>
    <t>SE VA A CAMBIAR LA META</t>
  </si>
  <si>
    <r>
      <t>LP 7.8.1.3.  Al menos una Biblioteca Virtual instalada y funcionando por distrito cada dos años a partir de enero 2013</t>
    </r>
    <r>
      <rPr>
        <sz val="11"/>
        <color rgb="FFFF0000"/>
        <rFont val="Calibri"/>
        <family val="2"/>
        <scheme val="minor"/>
      </rPr>
      <t>( SE ELIMINA LA META)</t>
    </r>
  </si>
  <si>
    <r>
      <t>7.8..1.3. Al menos una Biblioteca Virtual instalada y funcionando por distrito cada dos años a partir de enero 2013(</t>
    </r>
    <r>
      <rPr>
        <sz val="11"/>
        <rFont val="Calibri"/>
        <family val="2"/>
        <scheme val="minor"/>
      </rPr>
      <t>Se elimina meta)</t>
    </r>
  </si>
  <si>
    <t>Mejorar la calidad de la educación a través de infraestructura adecuada y programas especializados</t>
  </si>
  <si>
    <t>LP 7.9.  Coordinar con instituciones educativas, públicas y privadas, el desarrollo de programas preventivos para evitar la deserción estudiantil, el acoso escolar y la prevención del embarazo en adolecentes.</t>
  </si>
  <si>
    <t>LP 7.9.1.1. Un plan integral de programas preventivos para evitar la deserción estudiantil, el acoso escolar y la prevención del embarazó en adolecentes, aprobado por las Entidades relacionadas a diciembre de 2013.</t>
  </si>
  <si>
    <t>7.9. Coordinar con instituciones educativas, públicas y privadas, el desarrollo de programas preventivos para evitar la deserción estudiantil, el acoso escolar y la prevención del embarazo en adolecentes.</t>
  </si>
  <si>
    <t>7.9.1. Plan  integral de programas preventivos para evitar la deserción estudiantil, el acoso escolar y la prevención del embarazó en adolecentes.</t>
  </si>
  <si>
    <t>7.9.1.1. Formular un  plan integral de programas preventivos para evitar la deserción estudiantil, el acoso escolar y la prevención del embarazó en adolecentes, aprobado por las Entidades relacionadas a diciembre de 2013.</t>
  </si>
  <si>
    <t>CONSEJOS DE DISTRITO, ADI, JUNTAS DE EDUCACIÓN, MEP, EMPRESA PRIVADA, ONG, M. SALUD, PNAI, UNA, INED, INA, UNIVERSIDADES PRIVADAS</t>
  </si>
  <si>
    <t>Creación de un plan ntegral de programas preventivos para evitar la deserción estudiantil, el acoso escolar y la prevención del embarazó en adolecentes</t>
  </si>
  <si>
    <t>LP 7.9.1.2.  Crear una comisión interinstitucional constituida para enfrentar la deserción y reprobación estudiantil, constituida a partir de enero de 2013.</t>
  </si>
  <si>
    <t>7.9.1.2.Crear una comisión interinstitucional constituida para enfrentar la deserción y reprobación estudiantil, constituida a partir de enero de 2013.</t>
  </si>
  <si>
    <t>Comisón creada</t>
  </si>
  <si>
    <t>Crear una comisión interinstitucional constituida para enfrentar la deserción y reprobación estudiantil</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</si>
  <si>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</si>
  <si>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</si>
  <si>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LP 7.10. Propiciar y Coordinar la implementación de programas de educación vocacional, emprendedurismo y gestión empresarial.</t>
  </si>
  <si>
    <t>LP 7.10.1.1.  Un plan integral de programas de educación vocacional, emprendedurismo y gestión empresarial, aprobado por las Entidades relacionadas e incorporado a la curricula de Colegios Vocacionales del Cantón de Heredia a diciembre  de 2015.</t>
  </si>
  <si>
    <t>7.10.  Propiciar y Coordinar la implementación de programas de educación vocacional, emprendedurismo y gestión empresarial.</t>
  </si>
  <si>
    <t>7.10. Plan integral de programas de educación vocacional, emprendedurismo y gestión empresarial</t>
  </si>
  <si>
    <t>7.10.1.1. Formular un  plan integral de programas de educación vocacional, emprendedurismo y gestión empresarial, aprobado por las Entidades relacionadas e incorporado a la curricula de Colegios Vocacionales del Cantón de Heredia a diciembre  de 2015.</t>
  </si>
  <si>
    <t>MEP, EMPRESA PRIVADA, ONGS, INA, UNED, MEIC,</t>
  </si>
  <si>
    <t>LP 7.10.1.2.  Incremento del 10% del número de cursos vocacionales, emprendedurismo y gestión empresarial, incorporados en la curricula de las escuelas y colegios vocacionales del Cantón Central a partir de enero de 2016.</t>
  </si>
  <si>
    <t>7.10.1.2. Incremento del 10% del número de cursos vocacionales, emprendedurismo y gestión empresarial, incorporados en la curricula de las escuelas y colegios vocacionales del Cantón Central a partir de enero de 2016.</t>
  </si>
  <si>
    <t>Porcentaje de incremento obtenido</t>
  </si>
  <si>
    <t>realizar un plan integral de programas de educación vocacional, emprendedurismo y gestión empresarial</t>
  </si>
  <si>
    <t>LP 7.10.1.3. Incremento del 10% del número de cursos de gestión empresarial brindados a emprendedores y mipymes del Cantón Central por instituciones relacionadas, a partir de enero de 2014</t>
  </si>
  <si>
    <t>7.10.1.3. Incremento del 10% del número de cursos de gestión empresarial brindados a emprendedores y mipymes del Cantón Central por instituciones relacionadas, a partir de enero de 2014</t>
  </si>
  <si>
    <t>Coordinar con el Programa de Intermediación laboral para el desarrollo de cursos de capacitación en gestión empresarial dirigido a personas emprendedoras.</t>
  </si>
  <si>
    <t>PLAN DE DESARROLLO MUNICIPAL</t>
  </si>
  <si>
    <t>TABLA DE SEGUIMIENTO Y EVALUACIÓN</t>
  </si>
  <si>
    <t>PERIODO 2012-2016</t>
  </si>
  <si>
    <t>ÁREA ESTRATÉGICA</t>
  </si>
  <si>
    <t>PESO</t>
  </si>
  <si>
    <t>PORCENTAJE DE  EJECUCIÓN PROYECTOS POR ÁREA ESTRATÉGICA</t>
  </si>
  <si>
    <t>CUMPLIMIENTO ACUMULADO</t>
  </si>
  <si>
    <t>% cump.</t>
  </si>
  <si>
    <t>% alcanzado</t>
  </si>
  <si>
    <t>% cumplido del 2013</t>
  </si>
  <si>
    <t>% cumplido 2015 del año 2013</t>
  </si>
  <si>
    <t>% cumplido 2015 del año 2014</t>
  </si>
  <si>
    <t>TOTAL</t>
  </si>
  <si>
    <t>PROGRAMADO</t>
  </si>
  <si>
    <t>EJECUTADO</t>
  </si>
  <si>
    <t>% CUMPLIMIENTO</t>
  </si>
  <si>
    <t>DESARROLLO ECONÓMICO SOSTENIBLE (6)</t>
  </si>
  <si>
    <t>DESARROLLO SOCIAL(7)</t>
  </si>
  <si>
    <t>SEGURIDAD CIUDADANA(4)</t>
  </si>
  <si>
    <t>EDUCACIÓN(8)</t>
  </si>
  <si>
    <t>SERVICIOS PÚBLICOS(5)</t>
  </si>
  <si>
    <t>GESTIÓN AMBIENTAL Y ORDENAMIENTO TERRITORIAL (1)</t>
  </si>
  <si>
    <t>INVERSION PUBLICA(2)</t>
  </si>
  <si>
    <t>DESARROLLO Y GESTIÓN INSTITUCIONAL(3)</t>
  </si>
  <si>
    <t>PORCENTAJE EJECUCIÓN POR AÑO</t>
  </si>
  <si>
    <t>ÁREA ESTRATÉGICA: GESTIÓN AMBIENTAL Y ORDENAMIENTO TERRITORIAL</t>
  </si>
  <si>
    <t>No.</t>
  </si>
  <si>
    <t xml:space="preserve">PROYECTOS </t>
  </si>
  <si>
    <t>PORCENTAJE  DE EJECUCIÓN PROYECTOS</t>
  </si>
  <si>
    <t>1.1.1.</t>
  </si>
  <si>
    <t xml:space="preserve"> Impulsar programas de reciclaje en el Cantón de Heredia.</t>
  </si>
  <si>
    <t>1.1.2.</t>
  </si>
  <si>
    <t>Crear Centros de acopio Cantonal</t>
  </si>
  <si>
    <t>1.2.1.</t>
  </si>
  <si>
    <t>Campañas de capacitación y concientización en materia ambiental.</t>
  </si>
  <si>
    <t>1.2.2.</t>
  </si>
  <si>
    <t xml:space="preserve">Programa de Comunicación y Sensibilización  en temas ambientales </t>
  </si>
  <si>
    <t>1.3.1.</t>
  </si>
  <si>
    <t>Rescate, protección  y limpieza de las cuencas del cantón</t>
  </si>
  <si>
    <t>1.3.2.</t>
  </si>
  <si>
    <t>Reforestación y creación de zonas verdes.</t>
  </si>
  <si>
    <t>1.3.3.</t>
  </si>
  <si>
    <t>Sustitución de las especies forestales  que se ubican en los parques heredianos, con el fin sustituirlas con las especies adecuadas a la zona de vida</t>
  </si>
  <si>
    <t>1.3.4.</t>
  </si>
  <si>
    <t>Programas de Bandera Azul.</t>
  </si>
  <si>
    <t>1.3.5.</t>
  </si>
  <si>
    <t xml:space="preserve"> Plan de trabajo conjunto entre la Municipalidad y demás sectores relacionados </t>
  </si>
  <si>
    <t>1.3.6</t>
  </si>
  <si>
    <t>Programa de protección de ríos y áreas Públicas ubicadas en el Cantón.</t>
  </si>
  <si>
    <t>1.4.1.</t>
  </si>
  <si>
    <t>Cumplir con el Plan Regulador  del cantón Central de Heredia.</t>
  </si>
  <si>
    <t>1.4.2.</t>
  </si>
  <si>
    <t>Elabora el 30% Plan Regulador de Vara Blanca</t>
  </si>
  <si>
    <t>1.4.3.</t>
  </si>
  <si>
    <t>Ampliar y mantener la rotulación vial y rotulación vertical de ordenamiento postal</t>
  </si>
  <si>
    <t>1.4.4.</t>
  </si>
  <si>
    <t>Supervisión zonas de estacionamiento autorizado</t>
  </si>
  <si>
    <t>1.4.5.</t>
  </si>
  <si>
    <t>Ordenamiento Vial</t>
  </si>
  <si>
    <t>Plan Gestión Vial</t>
  </si>
  <si>
    <t>1.4.6.</t>
  </si>
  <si>
    <t xml:space="preserve">Plan de comunicación sobre el Plan de Ordenamiento Territorial y Plan Regulador </t>
  </si>
  <si>
    <t>1.4.7.</t>
  </si>
  <si>
    <t xml:space="preserve">Control  de la huella constructiva </t>
  </si>
  <si>
    <t>1.5.1.</t>
  </si>
  <si>
    <t>Plan de Gestión de Riesgos Naturales y Sociales.</t>
  </si>
  <si>
    <t>1.5.2.</t>
  </si>
  <si>
    <t>Una línea base e inventario de áreas vulnerables realizado a julio 2013.</t>
  </si>
  <si>
    <t>1.5.3.</t>
  </si>
  <si>
    <t xml:space="preserve">Comisión de gestión de riesgo local por distrito conformada a diciembre 2012 </t>
  </si>
  <si>
    <t>1.5.4.</t>
  </si>
  <si>
    <t xml:space="preserve"> Programa de formación de capacidades en gestión de riesgos locales.</t>
  </si>
  <si>
    <t>1.6.1.</t>
  </si>
  <si>
    <t xml:space="preserve"> Inventario de focos de contaminación hídrica, atmosférica y visual del Cantón de Heredia</t>
  </si>
  <si>
    <t>1.6.2.</t>
  </si>
  <si>
    <t>Programa de saneamiento ambiental, con alcance en los aspectos hídricos; estudios concluidos al 2016.</t>
  </si>
  <si>
    <t>1.6.3.</t>
  </si>
  <si>
    <t xml:space="preserve">Plan de acción para mitigación de los focos contaminación del Cantón de Heredia </t>
  </si>
  <si>
    <t>1.6.4.</t>
  </si>
  <si>
    <t xml:space="preserve"> Reglamento para la normalización y homogenización de la rotulación en el Cantón de Heredia.</t>
  </si>
  <si>
    <t>ÁREA ESTRATÉGICA: INVERSION PUBLICA</t>
  </si>
  <si>
    <t>pendietne 2013</t>
  </si>
  <si>
    <t>2.1.1.</t>
  </si>
  <si>
    <t>Construcción, mejoramiento y mantenimiento del alcantarillado pluvial y cordón y caño</t>
  </si>
  <si>
    <t>2.1.2.</t>
  </si>
  <si>
    <t>Construcción y arreglo de rampas</t>
  </si>
  <si>
    <t>2.1.3.</t>
  </si>
  <si>
    <t>Construcción y mantenimiento de puentes</t>
  </si>
  <si>
    <t>2.1.4.</t>
  </si>
  <si>
    <t>Construcción y mantenimiento de la red vial.</t>
  </si>
  <si>
    <t>2.1.5.</t>
  </si>
  <si>
    <t>Mejorar las condiciones del Mercado Municipal</t>
  </si>
  <si>
    <t>Proyecto Mercado</t>
  </si>
  <si>
    <t>2.1.6.</t>
  </si>
  <si>
    <t>Contar con Plan quinquenal de gestión vial</t>
  </si>
  <si>
    <t>2.1.7.</t>
  </si>
  <si>
    <t>Mejorar las condiciones de infraestructura de los edificios e instalaciones municipales.</t>
  </si>
  <si>
    <t>2.1.8.</t>
  </si>
  <si>
    <t>Construcción Terminal de Buses</t>
  </si>
  <si>
    <t>Etudio terminal buses</t>
  </si>
  <si>
    <t>2.1.9.</t>
  </si>
  <si>
    <t>Terreno para  el Cementerio de Mercedes</t>
  </si>
  <si>
    <t>2.1.10.</t>
  </si>
  <si>
    <t>Diagnóstico del estado de las aceras en todo el cantón central de Heredia e implementación de  las gestiones pertinentes para hacerlas accesibles para todas las personas .</t>
  </si>
  <si>
    <t>Para registrar Plan LP ( excluye 2.1.6.)</t>
  </si>
  <si>
    <t>2.1.11.</t>
  </si>
  <si>
    <t xml:space="preserve">Inventario de áreas públicas municipales </t>
  </si>
  <si>
    <t>2.1.12.</t>
  </si>
  <si>
    <t>Plan Maestro de alcantarillado pluvial  municipal .</t>
  </si>
  <si>
    <t>Plan Maestro</t>
  </si>
  <si>
    <t>2.1.13.</t>
  </si>
  <si>
    <t xml:space="preserve">Intervención  áreas públicas </t>
  </si>
  <si>
    <t>2.2.1.</t>
  </si>
  <si>
    <t xml:space="preserve"> Creación y mejoramiento de  espacios deportivos y recreativos accesibles</t>
  </si>
  <si>
    <t>2.2.2.</t>
  </si>
  <si>
    <t xml:space="preserve"> Creación zonas para ciclistas y patinadores.</t>
  </si>
  <si>
    <t>ÁREA ESTRATÉGICA: DESARROLLO Y GESTIÓN INSTITUCIONAL</t>
  </si>
  <si>
    <t>Reporte avance 2014 de años añteriores</t>
  </si>
  <si>
    <t>3.1.1.</t>
  </si>
  <si>
    <t>Digitalización de los expedientes de la Dirección Jurídica.</t>
  </si>
  <si>
    <t>Proyecto digitalización</t>
  </si>
  <si>
    <t>3.2.1.</t>
  </si>
  <si>
    <t>Herramientas digitales para el desarrollo sistemático de las Autoevaluaciones Anuales del Sistema de Control Interno.</t>
  </si>
  <si>
    <t>3.2.2.</t>
  </si>
  <si>
    <t>Aplicación del Modelo de Madurez a nivel Gerencial (Titular de Alcaldía, Planificación y Directores)</t>
  </si>
  <si>
    <t>3.3.1.</t>
  </si>
  <si>
    <t>Herramientas digitales para el desarrollo sistemático de la Valoración de Riesgos Institucional</t>
  </si>
  <si>
    <t>3.3.2.</t>
  </si>
  <si>
    <t>Análisis gerencial del Funcionamiento del Sistema Específico de Valoración de Riesgos Institucional</t>
  </si>
  <si>
    <t>3.4.1.</t>
  </si>
  <si>
    <t>Estudio de la estructura requerida  en la Unidad de Control Interno para brindar el servicio que la Institución demanda en materia de control Interno.</t>
  </si>
  <si>
    <t>3.4.2.</t>
  </si>
  <si>
    <t>Asesoría formal y acompañamiento continuo en materia de Control Interno</t>
  </si>
  <si>
    <t>3.4.3.</t>
  </si>
  <si>
    <t>Propuesta para la adquisición de un sistema informático para la administración de la información de Control Interno.</t>
  </si>
  <si>
    <t>3.5.1.</t>
  </si>
  <si>
    <t>Programa de Capacitación Continua en materia de Control Interno</t>
  </si>
  <si>
    <t>3.6.1.</t>
  </si>
  <si>
    <t xml:space="preserve">Estudio de tiempos y movimientos </t>
  </si>
  <si>
    <t>3.7.1.</t>
  </si>
  <si>
    <t>Reglamento y Manuales  en Salud Ocupacional</t>
  </si>
  <si>
    <t>Terminar implementación</t>
  </si>
  <si>
    <t>3.8.1.</t>
  </si>
  <si>
    <t>Plan de capacitación anual para todos los funcionarios municipales.</t>
  </si>
  <si>
    <t>Implementación plan</t>
  </si>
  <si>
    <t>3.9.1.</t>
  </si>
  <si>
    <t>Implementación de la Red de Servicios Digitales</t>
  </si>
  <si>
    <t>3.10.1.</t>
  </si>
  <si>
    <t>Plan de mejoramiento de los servicios que brinda la Municipalidad.</t>
  </si>
  <si>
    <t>3.11.1.</t>
  </si>
  <si>
    <t xml:space="preserve">Plan Anual de Medios de comunicación masiva </t>
  </si>
  <si>
    <t>3.11.2.</t>
  </si>
  <si>
    <t xml:space="preserve">Plan de medios en redes sociales que propicie espacios de opinión, consulta y creación de información </t>
  </si>
  <si>
    <t>3.11.3.</t>
  </si>
  <si>
    <t>Coordinar con al Comisión de  Cultura y Unidad Administrativa a cargo para divulgar y promover la cultura Herediana.</t>
  </si>
  <si>
    <t>3.12.1.</t>
  </si>
  <si>
    <t>Plan de Mejoramiento de la Comunicación y Divulgación  Interna  de la Municipalidad</t>
  </si>
  <si>
    <t>boletines</t>
  </si>
  <si>
    <t>3.12.2.</t>
  </si>
  <si>
    <t>Medio de comunicación escrito propio.</t>
  </si>
  <si>
    <t>Medio escrito</t>
  </si>
  <si>
    <t>3.13.1.</t>
  </si>
  <si>
    <t>Digitalización de las Declaraciones de Bienes Inmuebles.</t>
  </si>
  <si>
    <t>3.14.1.</t>
  </si>
  <si>
    <t>Digitalización de las No Afectaciones de Bienes Inmuebles.</t>
  </si>
  <si>
    <t>3.15.1.</t>
  </si>
  <si>
    <t xml:space="preserve"> Aplicación de las Normas Internacionales de Contabilidad del Sector Público (N.I.C.S.P.)</t>
  </si>
  <si>
    <t>revaloración activos</t>
  </si>
  <si>
    <t>3.16.1.</t>
  </si>
  <si>
    <t xml:space="preserve"> Conectividad con otros bancos y ampliación de horario en cajas para cobros de fin de trimestre.</t>
  </si>
  <si>
    <t>3.17.1.</t>
  </si>
  <si>
    <t xml:space="preserve"> Establecer mecanismos financieros para la recepción de garantías.</t>
  </si>
  <si>
    <t>3.18.1.</t>
  </si>
  <si>
    <t xml:space="preserve"> Pago electrónico de servicios y proveedores.</t>
  </si>
  <si>
    <t>3.19.1.</t>
  </si>
  <si>
    <t xml:space="preserve"> Sistema de grabación con video.</t>
  </si>
  <si>
    <t>3.20.1.</t>
  </si>
  <si>
    <t xml:space="preserve"> Sistema de firma digital.</t>
  </si>
  <si>
    <t>3.21.1.</t>
  </si>
  <si>
    <t>Sistema de seguimiento Plan de Desarrollo Municipal</t>
  </si>
  <si>
    <t>3.22.1.</t>
  </si>
  <si>
    <t>Establecer un enlace entre el Municipio y la E.S.P.H., para que en forma simultanea se distribuyan los recibos de los servicios públicos y los tributos municipales</t>
  </si>
  <si>
    <t>Envlace recibos ESPH</t>
  </si>
  <si>
    <t>3.23.1.</t>
  </si>
  <si>
    <t>Brindar mejores condiciones para la atención de la salud del personal municipal.</t>
  </si>
  <si>
    <t>3.24.1.</t>
  </si>
  <si>
    <t>Favorecer los mecanismos de coordinación institucional.</t>
  </si>
  <si>
    <t>3.24.2.</t>
  </si>
  <si>
    <t>Valorar el avance en implementación de la política con el fin de establecer mejoras de ser necesario.</t>
  </si>
  <si>
    <t>Para registrar Plan LP</t>
  </si>
  <si>
    <t>3.25.1.</t>
  </si>
  <si>
    <t>Políticas, estrategias y programas de dotación y desarrollo del talento humano.</t>
  </si>
  <si>
    <t>3.26.1.</t>
  </si>
  <si>
    <t xml:space="preserve"> Programa de optimización de procesos y simplificación de trámites y requisitos de la gestión municipal.</t>
  </si>
  <si>
    <t>3.27.1.</t>
  </si>
  <si>
    <t xml:space="preserve"> Programa efectivo de recaudación de impuestos municipales y gestión de cobro que genere recursos financieros suficientes para cubrir servicios de apoyo al plan de desarrollo de la Municipalidad de Heredia.</t>
  </si>
  <si>
    <t>3.28.1.</t>
  </si>
  <si>
    <t xml:space="preserve"> Fortalecer el sistema de información y comunicación Municipal.</t>
  </si>
  <si>
    <t>implemetnación Sistema Informático</t>
  </si>
  <si>
    <t>3.29.1.</t>
  </si>
  <si>
    <t xml:space="preserve"> Fortalecer los vínculos y alianzas estratégicas de la municipalidad con otros entes públicos y privados.</t>
  </si>
  <si>
    <t xml:space="preserve">ÁREA ESTRATÉGICA: SEGURIDAD CIUDADANA </t>
  </si>
  <si>
    <t>4.1.1.</t>
  </si>
  <si>
    <t>Fortalecer la policía municipal, tomando en cuenta la equidad de género, acorde con el desarrollo del proyecto "Seguridad Herediana Digital" (incorporar más oficiales)</t>
  </si>
  <si>
    <t>4.1.2.</t>
  </si>
  <si>
    <t>Seguridad Herediana digital.</t>
  </si>
  <si>
    <t>Herdia Digital</t>
  </si>
  <si>
    <t>4.1.3.</t>
  </si>
  <si>
    <t>Generar acciones para que las instancias policiales y judiciales con presencia local,  ejerzan las potestades que la ley les otorga en materia de seguridad.</t>
  </si>
  <si>
    <t>Firma convenio</t>
  </si>
  <si>
    <t>4.1.4.</t>
  </si>
  <si>
    <t>Crear alianzas entre la policía municipal y las organizaciones comunales en cuestiones de   Seguridad ciudadana.</t>
  </si>
  <si>
    <t>4.1.5.</t>
  </si>
  <si>
    <t>Establecer una subdelegación policial en San Francisco.</t>
  </si>
  <si>
    <t>4.1.6.</t>
  </si>
  <si>
    <t xml:space="preserve"> Instalación de cámaras de seguridad, acode al desarrollo del proyecto de "Seguridad Herediana Digital".</t>
  </si>
  <si>
    <t>4.2.1.</t>
  </si>
  <si>
    <t>Prevenir el delito y prevención de consumo de drogas no autorizadas por medio de programas de Educación en Escuelas y Colegios del Cantón Central de Heredia.</t>
  </si>
  <si>
    <t>4.2.2.</t>
  </si>
  <si>
    <t>Plan integral de programas preventivos en materia de seguridad</t>
  </si>
  <si>
    <t>Plan Materia Seguridad</t>
  </si>
  <si>
    <t>4.3.1.</t>
  </si>
  <si>
    <t xml:space="preserve">Política integral de seguridad cantonal </t>
  </si>
  <si>
    <t>Politica Seguridad</t>
  </si>
  <si>
    <t>4.3.2.</t>
  </si>
  <si>
    <t xml:space="preserve">Estudio que identifique las zonas de mayor incidencia delictiva para cada unos de los distritos </t>
  </si>
  <si>
    <t>4.3.3.</t>
  </si>
  <si>
    <t xml:space="preserve">Plan de comunicación y educación a la población para la aplicación de la política de seguridad cantonal </t>
  </si>
  <si>
    <t>4.4.1.</t>
  </si>
  <si>
    <t>Plan integral de infraestructura en materia de seguridad</t>
  </si>
  <si>
    <t>4.4.2.</t>
  </si>
  <si>
    <t>Fortalecer las capacidades técnicas y operativas de los policías municipales</t>
  </si>
  <si>
    <t>4.5.1.</t>
  </si>
  <si>
    <t>Plan integral en materia de atención a las adicciones y prevención social</t>
  </si>
  <si>
    <t>Plan atención adicciones</t>
  </si>
  <si>
    <t>ÁREA ESTRATÉGICA: SERVICIOS PÚBLICOS</t>
  </si>
  <si>
    <t>5.1.1.</t>
  </si>
  <si>
    <t>Organizar la limpieza de caños, cunetas , alcantarillados, parques y recolección basura</t>
  </si>
  <si>
    <t>5.2.1.</t>
  </si>
  <si>
    <t>Digitalización e identificación de derechos</t>
  </si>
  <si>
    <t>5.2.2.</t>
  </si>
  <si>
    <t>Rotulación Accesible para los Cementerios del Cantón</t>
  </si>
  <si>
    <t>ÁREA ESTRATÉGICA: DESARROLLO ECONÓMICO SOSTENIBLE</t>
  </si>
  <si>
    <t>6.1.1.</t>
  </si>
  <si>
    <t>Proyecto de  capacitación continúa para la generación de empleo y creación de pequeñas y medianas empresas.</t>
  </si>
  <si>
    <t>6.1.2.</t>
  </si>
  <si>
    <t>Crear un mercado local de mujeres emprendedoras</t>
  </si>
  <si>
    <t>6.1.3.</t>
  </si>
  <si>
    <t>Crear un Fondo Rotatorio de Préstamos para el financiamiento de emprendimiento productivos</t>
  </si>
  <si>
    <t>Proyecto mujeres</t>
  </si>
  <si>
    <t>6.1.4.</t>
  </si>
  <si>
    <t>Fortalecer el desarrollo económico local por medio del impulso de micro emprendimiento realizados por mujeres y personas en condiciones de mayor vulnerabilidad.</t>
  </si>
  <si>
    <t>Evaluar Plan LP</t>
  </si>
  <si>
    <t>6.2.1.</t>
  </si>
  <si>
    <t>Presupuesto Participativo con Perspectiva de Género</t>
  </si>
  <si>
    <t>6.2.2.</t>
  </si>
  <si>
    <t>Fortalecer las acciones implementadas en el Programa de Presupuesto Participativo</t>
  </si>
  <si>
    <t>6.3.1.</t>
  </si>
  <si>
    <t>Modernización y Accesibilidad del Complejo Turístico Las Chorreras</t>
  </si>
  <si>
    <t>Mejora Chorreras</t>
  </si>
  <si>
    <t>6.3.2.</t>
  </si>
  <si>
    <t>Promover la actividad turística, ecológica, artesanal y cultural</t>
  </si>
  <si>
    <t>Politica turismo</t>
  </si>
  <si>
    <t>6.4.1.</t>
  </si>
  <si>
    <t xml:space="preserve">Promoción de un polo de desarrollo </t>
  </si>
  <si>
    <t>6.5.1.</t>
  </si>
  <si>
    <t xml:space="preserve">Programa de impulso al emprendedurismo local </t>
  </si>
  <si>
    <t>6.5.2.</t>
  </si>
  <si>
    <t>Programa de fortalecimiento del Campo Ferial en Mercedes Norte.</t>
  </si>
  <si>
    <t>6.6.1.</t>
  </si>
  <si>
    <t>Plan de reactivación de sectores dinámicos del aparato económico local formulado y aprobado a diciembre del 2016</t>
  </si>
  <si>
    <t>ÁREA ESTRATÉGICA: DESARROLLO SOCIAL</t>
  </si>
  <si>
    <t>7.1.1.</t>
  </si>
  <si>
    <t>Impulsar la creación de un Centro Infantil Municipal para el cuido de personas menores de edad de los 0 a los 12 años, con horario de funcionamiento 6 am a 6 pm.</t>
  </si>
  <si>
    <t>7.1.2.</t>
  </si>
  <si>
    <t xml:space="preserve">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</si>
  <si>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7.1.3.</t>
  </si>
  <si>
    <t>Proteger los derechos humanos de los niños y las niñas frente al abuso sexual</t>
  </si>
  <si>
    <t>7.1.4.</t>
  </si>
  <si>
    <t xml:space="preserve">Apoyar la gestión de  Centros Diurnos para Personas Adultas Mayores </t>
  </si>
  <si>
    <t>7.1.5.</t>
  </si>
  <si>
    <t>Realizar Ferias de la Salud en las Comunidades.</t>
  </si>
  <si>
    <t>7.1.6.</t>
  </si>
  <si>
    <t>Capacitar a personas adolescentes del cantón sobre sexualidad integral.</t>
  </si>
  <si>
    <t>7.2.1.</t>
  </si>
  <si>
    <t>Integrar criterios de igualdad y equidad en la gestión del recurso humano municipal.</t>
  </si>
  <si>
    <t>7.2.2.</t>
  </si>
  <si>
    <t xml:space="preserve">Contar con una base de datos segregada por sexo en todos los departamentos de manera que se facilite la implementación de acciones diferenciadas dirigidas a personas con iniciativas empresariales. </t>
  </si>
  <si>
    <t>7.2.3.</t>
  </si>
  <si>
    <t>Promover nuevas identidades femeninas y masculinas para la construcción de una sociedad más justa y equitativa</t>
  </si>
  <si>
    <t>7.2.4.</t>
  </si>
  <si>
    <t>Desarrollar campañas para divulgar el reglamento interno contra el Hostigamiento Sexual y erradicar su prevalencia.</t>
  </si>
  <si>
    <t>7.2.5.</t>
  </si>
  <si>
    <t>Desarrollar un programa de capacitación permanente dirigido al personal municipal sobre el Hostigamiento sexual en el empleo y la normativa institucional vigente.</t>
  </si>
  <si>
    <t>7.2.6.</t>
  </si>
  <si>
    <t>Coordinar acciones de divulgación permanentes dirigidas al sector empresarial y a la ciudadanía sobre la Ley contra el  Hostigamiento Sexual en el Empleo y la Docencia y sus Reformas.</t>
  </si>
  <si>
    <t>7.2.7.</t>
  </si>
  <si>
    <t>Contar con un equipo interdisciplinario que contribuya a la atención de las víctimas de violencia intrafamiliar así como el desarrollo de instrumentos para atender la problemática.</t>
  </si>
  <si>
    <t>7.2.8.</t>
  </si>
  <si>
    <t xml:space="preserve">Divulgar de manera permanente los derechos humanos de las mujeres contemplados en convenios internacionales y en el marco jurídico nacional.  </t>
  </si>
  <si>
    <t>7.2.9.</t>
  </si>
  <si>
    <t>Apoyar y fortalecer la coordinación interinstitucional de Prevención y atención de la Violencia Intrafamiliar</t>
  </si>
  <si>
    <t>7.2.10.</t>
  </si>
  <si>
    <t>Fortalecer la  organización comunitaria de mujeres mediante la capacitación permanente en temas de liderazgo, participación política y ciudadana desde un enfoque de género.</t>
  </si>
  <si>
    <t>7.2.11.</t>
  </si>
  <si>
    <t>Brindar herramientas para la inclusión de la perspectiva de género en la planificación del desarrollo urbano.</t>
  </si>
  <si>
    <t>Charlas sobre planificaciión urbana</t>
  </si>
  <si>
    <t>7.2.12.</t>
  </si>
  <si>
    <t>Favorecer el acercamiento de los diversos grupos poblacionales del cantón con los servicios municipales.</t>
  </si>
  <si>
    <t>7.3.1.</t>
  </si>
  <si>
    <t>7.3.2.</t>
  </si>
  <si>
    <t>Diagnóstico  de las necesidades de las personas con discapacidad del cantón central de Heredia.</t>
  </si>
  <si>
    <t>7.3.3.</t>
  </si>
  <si>
    <t>Elaborar  y ejecutar un plan cantonal de promoción del desarrollo de las personas con discapacidad que involucre a los diversos sectores  públicos y privados según su competencia.</t>
  </si>
  <si>
    <t>7.3.4.</t>
  </si>
  <si>
    <t>Desarrollar  una estrategia de  promoción del empleo para personas con discapacidad del cantón central de Heredia.</t>
  </si>
  <si>
    <t>7.3.5.</t>
  </si>
  <si>
    <r>
      <rPr>
        <sz val="7"/>
        <color indexed="8"/>
        <rFont val="Times New Roman"/>
        <family val="1"/>
      </rPr>
      <t xml:space="preserve"> </t>
    </r>
    <r>
      <rPr>
        <sz val="11"/>
        <color theme="1"/>
        <rFont val="Calibri"/>
        <family val="2"/>
        <scheme val="minor"/>
      </rPr>
      <t>Análisis y verificación de la perspectiva de la accesibilidad en las normas internas que regulan el otorgamiento de toda clase de permisos y licencias que otorga la municipalidad para garantizar el cumplimiento de la ley 7600.</t>
    </r>
  </si>
  <si>
    <t>7.3.6.</t>
  </si>
  <si>
    <t>Creación de una base de datos con recursos humanos e instituciones, en formatos accesibles para todas las personas.</t>
  </si>
  <si>
    <t>7.3.7.</t>
  </si>
  <si>
    <t>Apoyar el desarrollo de servicios que brindan organizaciones no gubernamentales a personas con discapacidad en el cantón central de Heredia.</t>
  </si>
  <si>
    <t>Implementación plan personas con discapacidad</t>
  </si>
  <si>
    <t>7.3.8.</t>
  </si>
  <si>
    <t xml:space="preserve">Fiscalizar y exigir el cumplimiento pleno de las disposiciones de la ley 7600 y su reglamento, en la revisión de planos, permisos de construcción, otorgamientos de patentes y cualquier otra autorización similar.  </t>
  </si>
  <si>
    <t>7.4.1.</t>
  </si>
  <si>
    <t>Fortalecimiento  de la educación herediana, por medio de la asignación de recursos.</t>
  </si>
  <si>
    <t>7.5.1.</t>
  </si>
  <si>
    <t xml:space="preserve">Programa integral de desarrollo deportivo, cultural y recreativo </t>
  </si>
  <si>
    <t>convenios</t>
  </si>
  <si>
    <t>7.6.1.</t>
  </si>
  <si>
    <t xml:space="preserve">Programa integral de mejoramiento de hábitos de alimentación  </t>
  </si>
  <si>
    <t>7.7.1</t>
  </si>
  <si>
    <t>7.7.2.</t>
  </si>
  <si>
    <t>7.8.1.</t>
  </si>
  <si>
    <t>7.9.1.</t>
  </si>
  <si>
    <t>Plan  integral de programas preventivos para evitar la deserción estudiantil, el acoso escolar y la prevención del embarazó en adolecentes.</t>
  </si>
  <si>
    <t>plan para evitar deserción infantil</t>
  </si>
  <si>
    <t>7.10.1.</t>
  </si>
  <si>
    <t>Plan integral de programas de educación vocacional, emprendedurismo y gestión empresarial</t>
  </si>
  <si>
    <t>EVALUACION A DICIEMBRE 2015</t>
  </si>
  <si>
    <t>AREA ESTRATEGICA:  INVERSION PUBLICA</t>
  </si>
  <si>
    <t>AREA ESTRATEGICA:  DESARROLLO Y GESTION INSTITUCIONAL</t>
  </si>
  <si>
    <t>AREA ESTRATEGICA: SERVICIOS PUBLICOS</t>
  </si>
  <si>
    <t>AREA ESTRATEGICA:  DESARROLLO ECONOMICO</t>
  </si>
  <si>
    <t>AREA ESTRATEGICA: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</si>
</sst>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indexed="8"/>
      <name val="Calibri"/>
      <family val="2"/>
    </font>
    <font>
      <b/>
      <sz val="18"/>
      <color indexed="8"/>
      <name val="Calibri"/>
      <family val="2"/>
    </font>
    <font>
      <sz val="11"/>
      <name val="Calibri"/>
      <family val="2"/>
      <scheme val="minor"/>
    </font>
    <font>
      <b/>
      <sz val="16"/>
      <name val="Calibri"/>
      <family val="2"/>
    </font>
    <font>
      <b/>
      <sz val="11"/>
      <name val="Calibri"/>
      <family val="2"/>
      <scheme val="minor"/>
    </font>
    <font>
      <b/>
      <sz val="11"/>
      <name val="Calibri"/>
      <family val="2"/>
    </font>
    <font>
      <b/>
      <sz val="11"/>
      <color indexed="8"/>
      <name val="Calibri"/>
      <family val="2"/>
    </font>
    <font>
      <b/>
      <sz val="10"/>
      <color indexed="8"/>
      <name val="Calibri"/>
      <family val="2"/>
    </font>
    <font>
      <sz val="11"/>
      <name val="Arial"/>
      <family val="2"/>
    </font>
    <font>
      <sz val="7"/>
      <name val="Times New Roman"/>
      <family val="1"/>
    </font>
    <font>
      <sz val="14"/>
      <name val="Arial"/>
      <family val="2"/>
    </font>
    <font>
      <sz val="12"/>
      <name val="Calibri Light"/>
      <family val="1"/>
      <scheme val="major"/>
    </font>
    <font>
      <b/>
      <sz val="11"/>
      <color rgb="FFFF0000"/>
      <name val="Calibri"/>
      <family val="2"/>
      <scheme val="minor"/>
    </font>
    <font>
      <sz val="12"/>
      <name val="Arial"/>
      <family val="2"/>
    </font>
    <font>
      <sz val="10"/>
      <name val="Arial"/>
      <family val="2"/>
    </font>
    <font>
      <b/>
      <sz val="9"/>
      <color indexed="81"/>
      <name val="Tahoma"/>
      <family val="2"/>
    </font>
    <font>
      <sz val="9"/>
      <color indexed="81"/>
      <name val="Tahoma"/>
      <family val="2"/>
    </font>
    <font>
      <sz val="11"/>
      <color rgb="FF7030A0"/>
      <name val="Arial"/>
      <family val="2"/>
    </font>
    <font>
      <sz val="12"/>
      <color theme="1"/>
      <name val="Arial"/>
      <family val="2"/>
    </font>
    <font>
      <b/>
      <sz val="9"/>
      <color indexed="81"/>
      <name val="Tahoma"/>
      <charset val="1"/>
    </font>
    <font>
      <sz val="9"/>
      <color indexed="81"/>
      <name val="Tahoma"/>
      <charset val="1"/>
    </font>
    <font>
      <sz val="11"/>
      <color rgb="FFFF0000"/>
      <name val="Arial"/>
      <family val="2"/>
    </font>
    <font>
      <sz val="12"/>
      <name val="Calibri"/>
      <family val="2"/>
    </font>
    <font>
      <sz val="11"/>
      <name val="Calibri"/>
      <family val="2"/>
    </font>
    <font>
      <sz val="9"/>
      <name val="Arial"/>
      <family val="2"/>
    </font>
    <font>
      <b/>
      <sz val="10"/>
      <color rgb="FFFF0000"/>
      <name val="Arial"/>
      <family val="2"/>
    </font>
    <font>
      <sz val="11"/>
      <color theme="1"/>
      <name val="Arial"/>
      <family val="2"/>
    </font>
    <font>
      <sz val="10"/>
      <color theme="1"/>
      <name val="Arial"/>
      <family val="2"/>
    </font>
    <font>
      <sz val="10.5"/>
      <color theme="1"/>
      <name val="Consolas"/>
      <family val="3"/>
    </font>
    <font>
      <sz val="11"/>
      <color theme="1"/>
      <name val="Georgia"/>
      <family val="1"/>
    </font>
    <font>
      <sz val="10"/>
      <name val="Calibri"/>
      <family val="2"/>
    </font>
    <font>
      <sz val="12"/>
      <color rgb="FFFF0000"/>
      <name val="Arial"/>
      <family val="2"/>
    </font>
    <font>
      <sz val="11"/>
      <color rgb="FFFF0000"/>
      <name val="Calibri"/>
      <family val="2"/>
    </font>
    <font>
      <b/>
      <sz val="14"/>
      <color indexed="8"/>
      <name val="Calibri"/>
      <family val="2"/>
    </font>
    <font>
      <b/>
      <sz val="11"/>
      <color rgb="FFFF0000"/>
      <name val="Calibri"/>
      <family val="2"/>
    </font>
    <font>
      <sz val="7"/>
      <color indexed="8"/>
      <name val="Times New Roman"/>
      <family val="1"/>
    </font>
  </fonts>
  <fills count="29">
    <fill>
      <patternFill patternType="none"/>
    </fill>
    <fill>
      <patternFill patternType="gray125"/>
    </fill>
    <fill>
      <patternFill patternType="solid">
        <fgColor theme="0" tint="-0.249977111117893"/>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theme="3" tint="0.39997558519241921"/>
        <bgColor indexed="64"/>
      </patternFill>
    </fill>
    <fill>
      <patternFill patternType="solid">
        <fgColor theme="7" tint="-0.249977111117893"/>
        <bgColor indexed="64"/>
      </patternFill>
    </fill>
    <fill>
      <patternFill patternType="solid">
        <fgColor rgb="FFFFFF00"/>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00B0F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92D05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indexed="9"/>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indexed="31"/>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top style="thin">
        <color indexed="64"/>
      </top>
      <bottom/>
      <diagonal/>
    </border>
  </borders>
  <cellStyleXfs count="4">
    <xf numFmtId="0" fontId="0" fillId="0" borderId="0"/>
    <xf numFmtId="0" fontId="18" fillId="0" borderId="0"/>
    <xf numFmtId="0" fontId="1" fillId="0" borderId="0"/>
    <xf numFmtId="0" fontId="18" fillId="0" borderId="0"/>
  </cellStyleXfs>
  <cellXfs count="583">
    <xf numFmtId="0" fontId="0" fillId="0" borderId="0" xfId="0"/>
    <xf numFmtId="0" fontId="0" fillId="2" borderId="1" xfId="0" applyFill="1" applyBorder="1" applyAlignment="1">
      <alignment vertical="center"/>
    </xf>
    <xf numFmtId="0" fontId="0" fillId="0" borderId="0" xfId="0" applyAlignment="1">
      <alignment horizontal="center" vertical="center"/>
    </xf>
    <xf numFmtId="0" fontId="4" fillId="0" borderId="0" xfId="0" applyFont="1" applyAlignment="1">
      <alignment horizontal="left"/>
    </xf>
    <xf numFmtId="0" fontId="5" fillId="0" borderId="0" xfId="0" applyFont="1" applyAlignment="1">
      <alignment horizontal="left"/>
    </xf>
    <xf numFmtId="0" fontId="0" fillId="3" borderId="1" xfId="0" applyFill="1" applyBorder="1" applyAlignment="1">
      <alignment vertical="center"/>
    </xf>
    <xf numFmtId="0" fontId="0" fillId="4" borderId="0" xfId="0" applyFill="1"/>
    <xf numFmtId="0" fontId="0" fillId="5" borderId="1" xfId="0" applyFill="1" applyBorder="1" applyAlignment="1">
      <alignment vertical="center"/>
    </xf>
    <xf numFmtId="0" fontId="0" fillId="6" borderId="0" xfId="0" applyFill="1"/>
    <xf numFmtId="0" fontId="0" fillId="7" borderId="1" xfId="0" applyFill="1" applyBorder="1"/>
    <xf numFmtId="0" fontId="0" fillId="8" borderId="0" xfId="0" applyFill="1"/>
    <xf numFmtId="0" fontId="4" fillId="0" borderId="0" xfId="0" applyFont="1" applyAlignment="1">
      <alignment horizontal="center"/>
    </xf>
    <xf numFmtId="0" fontId="0" fillId="9" borderId="1" xfId="0" applyFill="1" applyBorder="1"/>
    <xf numFmtId="0" fontId="0" fillId="7" borderId="0" xfId="0" applyFill="1"/>
    <xf numFmtId="0" fontId="6" fillId="0" borderId="0" xfId="0" applyFont="1"/>
    <xf numFmtId="0" fontId="7" fillId="0" borderId="0" xfId="0" applyFont="1" applyAlignment="1">
      <alignment horizontal="center"/>
    </xf>
    <xf numFmtId="0" fontId="10" fillId="19" borderId="1" xfId="0" applyFont="1" applyFill="1" applyBorder="1" applyAlignment="1"/>
    <xf numFmtId="0" fontId="10" fillId="2" borderId="6" xfId="0" applyFont="1" applyFill="1" applyBorder="1" applyAlignment="1">
      <alignment horizontal="justify" vertical="center"/>
    </xf>
    <xf numFmtId="0" fontId="0" fillId="0" borderId="0" xfId="0" applyBorder="1"/>
    <xf numFmtId="0" fontId="8" fillId="11" borderId="0" xfId="0" applyFont="1" applyFill="1" applyBorder="1" applyAlignment="1">
      <alignment horizontal="center" vertical="center"/>
    </xf>
    <xf numFmtId="0" fontId="11" fillId="19" borderId="1" xfId="0" applyFont="1" applyFill="1" applyBorder="1" applyAlignment="1">
      <alignment horizontal="center" vertical="center"/>
    </xf>
    <xf numFmtId="0" fontId="0" fillId="2" borderId="7" xfId="0" applyFill="1" applyBorder="1" applyAlignment="1">
      <alignment horizontal="justify" vertical="center"/>
    </xf>
    <xf numFmtId="17" fontId="12" fillId="0" borderId="7" xfId="0" applyNumberFormat="1" applyFont="1" applyFill="1" applyBorder="1" applyAlignment="1">
      <alignment horizontal="center" vertical="center"/>
    </xf>
    <xf numFmtId="0" fontId="8" fillId="0" borderId="7" xfId="0" applyFont="1" applyFill="1" applyBorder="1" applyAlignment="1">
      <alignment horizontal="justify" vertical="top"/>
    </xf>
    <xf numFmtId="0" fontId="6" fillId="2" borderId="7" xfId="0" applyFont="1" applyFill="1" applyBorder="1" applyAlignment="1">
      <alignment horizontal="justify" vertical="top"/>
    </xf>
    <xf numFmtId="0" fontId="6" fillId="0" borderId="7" xfId="0" applyFont="1" applyFill="1" applyBorder="1" applyAlignment="1">
      <alignment horizontal="justify" vertical="top"/>
    </xf>
    <xf numFmtId="9" fontId="6" fillId="0" borderId="7" xfId="0" applyNumberFormat="1" applyFont="1" applyFill="1" applyBorder="1" applyAlignment="1">
      <alignment horizontal="center" vertical="center"/>
    </xf>
    <xf numFmtId="9" fontId="6" fillId="3" borderId="7" xfId="0" applyNumberFormat="1" applyFont="1" applyFill="1" applyBorder="1" applyAlignment="1">
      <alignment horizontal="center" vertical="center"/>
    </xf>
    <xf numFmtId="9" fontId="6" fillId="0" borderId="1" xfId="0" applyNumberFormat="1" applyFont="1" applyFill="1" applyBorder="1" applyAlignment="1">
      <alignment horizontal="center" vertical="top"/>
    </xf>
    <xf numFmtId="9" fontId="6" fillId="7" borderId="1" xfId="0" applyNumberFormat="1" applyFont="1" applyFill="1" applyBorder="1" applyAlignment="1">
      <alignment horizontal="center" vertical="top"/>
    </xf>
    <xf numFmtId="9" fontId="6" fillId="4"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0" fontId="0" fillId="0" borderId="7" xfId="0" applyBorder="1"/>
    <xf numFmtId="0" fontId="0" fillId="0" borderId="7" xfId="0" applyBorder="1" applyAlignment="1">
      <alignment horizontal="justify" vertical="top"/>
    </xf>
    <xf numFmtId="9" fontId="0" fillId="0" borderId="1" xfId="0" applyNumberFormat="1" applyBorder="1" applyAlignment="1">
      <alignment horizontal="left" vertical="center" wrapText="1"/>
    </xf>
    <xf numFmtId="9" fontId="0" fillId="0" borderId="1" xfId="0" applyNumberFormat="1" applyBorder="1" applyAlignment="1">
      <alignment horizontal="center" vertical="center"/>
    </xf>
    <xf numFmtId="0" fontId="0" fillId="0" borderId="1" xfId="0" applyBorder="1" applyAlignment="1">
      <alignment horizontal="justify" vertical="top"/>
    </xf>
    <xf numFmtId="0" fontId="0" fillId="0" borderId="1" xfId="0" applyBorder="1" applyAlignment="1">
      <alignment horizontal="justify" vertical="top" wrapText="1"/>
    </xf>
    <xf numFmtId="0" fontId="6" fillId="0" borderId="1" xfId="0" applyFont="1" applyFill="1" applyBorder="1"/>
    <xf numFmtId="0" fontId="0" fillId="0" borderId="2" xfId="0" applyBorder="1"/>
    <xf numFmtId="0" fontId="0" fillId="0" borderId="1" xfId="0" applyBorder="1"/>
    <xf numFmtId="0" fontId="14" fillId="0" borderId="1" xfId="0" applyNumberFormat="1" applyFont="1" applyFill="1" applyBorder="1" applyAlignment="1" applyProtection="1">
      <alignment horizontal="justify" vertical="top" wrapText="1"/>
      <protection locked="0"/>
    </xf>
    <xf numFmtId="0" fontId="0" fillId="0" borderId="1" xfId="0" applyBorder="1" applyAlignment="1">
      <alignment horizontal="center" vertical="center"/>
    </xf>
    <xf numFmtId="0" fontId="8" fillId="0" borderId="1" xfId="0" applyFont="1" applyFill="1" applyBorder="1" applyAlignment="1">
      <alignment horizontal="justify" vertical="top"/>
    </xf>
    <xf numFmtId="0" fontId="6" fillId="0" borderId="1" xfId="0" applyFont="1" applyFill="1" applyBorder="1" applyAlignment="1">
      <alignment horizontal="justify"/>
    </xf>
    <xf numFmtId="0" fontId="6" fillId="0" borderId="1" xfId="0" applyFont="1" applyFill="1" applyBorder="1" applyAlignment="1">
      <alignment horizontal="justify" vertical="top"/>
    </xf>
    <xf numFmtId="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top"/>
    </xf>
    <xf numFmtId="0" fontId="6" fillId="8" borderId="1" xfId="0" applyFont="1" applyFill="1" applyBorder="1"/>
    <xf numFmtId="0" fontId="6" fillId="2" borderId="1" xfId="0" applyFont="1" applyFill="1" applyBorder="1" applyAlignment="1">
      <alignment horizontal="justify" vertical="top"/>
    </xf>
    <xf numFmtId="9" fontId="6" fillId="6" borderId="1" xfId="0" applyNumberFormat="1" applyFont="1" applyFill="1" applyBorder="1" applyAlignment="1">
      <alignment horizontal="center" vertical="top"/>
    </xf>
    <xf numFmtId="9" fontId="6" fillId="3" borderId="1" xfId="0" applyNumberFormat="1" applyFont="1" applyFill="1" applyBorder="1" applyAlignment="1">
      <alignment horizontal="center" vertical="center"/>
    </xf>
    <xf numFmtId="9" fontId="6" fillId="5" borderId="1" xfId="0" applyNumberFormat="1" applyFont="1" applyFill="1" applyBorder="1" applyAlignment="1">
      <alignment horizontal="center" vertical="center"/>
    </xf>
    <xf numFmtId="9" fontId="6" fillId="6" borderId="1" xfId="0" applyNumberFormat="1" applyFont="1" applyFill="1" applyBorder="1" applyAlignment="1">
      <alignment horizontal="center" vertical="center"/>
    </xf>
    <xf numFmtId="9" fontId="6" fillId="4" borderId="1" xfId="0" applyNumberFormat="1" applyFont="1" applyFill="1" applyBorder="1" applyAlignment="1">
      <alignment horizontal="center" vertical="center"/>
    </xf>
    <xf numFmtId="9" fontId="6" fillId="22" borderId="1" xfId="0" applyNumberFormat="1" applyFont="1" applyFill="1" applyBorder="1" applyAlignment="1">
      <alignment horizontal="center" vertical="center"/>
    </xf>
    <xf numFmtId="0" fontId="0" fillId="0" borderId="1" xfId="0" applyBorder="1" applyAlignment="1">
      <alignment horizontal="center" vertical="top"/>
    </xf>
    <xf numFmtId="0" fontId="15" fillId="0" borderId="1" xfId="0" applyFont="1" applyFill="1" applyBorder="1" applyAlignment="1" applyProtection="1">
      <alignment horizontal="justify" vertical="top" wrapText="1"/>
      <protection locked="0"/>
    </xf>
    <xf numFmtId="0" fontId="12" fillId="0" borderId="1" xfId="0" applyFont="1" applyFill="1" applyBorder="1" applyAlignment="1" applyProtection="1">
      <alignment horizontal="justify" vertical="top"/>
      <protection locked="0"/>
    </xf>
    <xf numFmtId="4" fontId="12" fillId="0" borderId="1" xfId="0" applyNumberFormat="1" applyFont="1" applyFill="1" applyBorder="1" applyAlignment="1" applyProtection="1">
      <alignment horizontal="justify" vertical="top" wrapText="1"/>
      <protection locked="0"/>
    </xf>
    <xf numFmtId="0" fontId="6" fillId="0" borderId="1" xfId="0" applyFont="1" applyFill="1" applyBorder="1" applyAlignment="1" applyProtection="1">
      <alignment horizontal="justify" vertical="top"/>
      <protection locked="0"/>
    </xf>
    <xf numFmtId="17" fontId="6" fillId="0" borderId="1" xfId="0" applyNumberFormat="1" applyFont="1" applyFill="1" applyBorder="1" applyAlignment="1">
      <alignment horizontal="center" vertical="center"/>
    </xf>
    <xf numFmtId="0" fontId="16" fillId="0" borderId="1" xfId="0" applyFont="1" applyFill="1" applyBorder="1" applyAlignment="1">
      <alignment horizontal="justify" vertical="top"/>
    </xf>
    <xf numFmtId="0" fontId="2" fillId="2" borderId="1" xfId="0" applyFont="1" applyFill="1" applyBorder="1" applyAlignment="1">
      <alignment horizontal="justify" vertical="top"/>
    </xf>
    <xf numFmtId="0" fontId="2" fillId="0" borderId="1" xfId="0" applyFont="1" applyFill="1" applyBorder="1" applyAlignment="1">
      <alignment horizontal="justify" vertical="top"/>
    </xf>
    <xf numFmtId="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top"/>
    </xf>
    <xf numFmtId="9" fontId="2" fillId="6" borderId="1"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17" fontId="12" fillId="0" borderId="1" xfId="0" applyNumberFormat="1" applyFont="1" applyFill="1" applyBorder="1" applyAlignment="1">
      <alignment horizontal="center" vertical="center"/>
    </xf>
    <xf numFmtId="9" fontId="0" fillId="23" borderId="1" xfId="0" applyNumberFormat="1" applyFill="1" applyBorder="1" applyAlignment="1">
      <alignment horizontal="center" vertical="center"/>
    </xf>
    <xf numFmtId="0" fontId="0" fillId="23" borderId="1" xfId="0" applyFill="1" applyBorder="1" applyAlignment="1">
      <alignment horizontal="justify" vertical="top"/>
    </xf>
    <xf numFmtId="0" fontId="0" fillId="0" borderId="1" xfId="0" applyFill="1" applyBorder="1" applyAlignment="1">
      <alignment horizontal="justify" vertical="top"/>
    </xf>
    <xf numFmtId="0" fontId="2" fillId="0" borderId="7" xfId="0" applyFont="1" applyFill="1" applyBorder="1" applyAlignment="1">
      <alignment horizontal="justify" vertical="top"/>
    </xf>
    <xf numFmtId="9" fontId="6" fillId="7" borderId="7" xfId="0" applyNumberFormat="1" applyFont="1" applyFill="1" applyBorder="1" applyAlignment="1">
      <alignment horizontal="center" vertical="center"/>
    </xf>
    <xf numFmtId="9" fontId="6" fillId="5" borderId="7" xfId="0" applyNumberFormat="1" applyFont="1" applyFill="1" applyBorder="1" applyAlignment="1">
      <alignment horizontal="center" vertical="center"/>
    </xf>
    <xf numFmtId="0" fontId="0" fillId="0" borderId="7" xfId="0" applyFill="1" applyBorder="1" applyAlignment="1">
      <alignment horizontal="justify" vertical="top"/>
    </xf>
    <xf numFmtId="0" fontId="14" fillId="0" borderId="1" xfId="0" applyFont="1" applyFill="1" applyBorder="1" applyAlignment="1" applyProtection="1">
      <alignment horizontal="justify" vertical="top" wrapText="1"/>
      <protection locked="0"/>
    </xf>
    <xf numFmtId="0" fontId="0" fillId="9" borderId="1" xfId="0" applyFill="1" applyBorder="1" applyAlignment="1">
      <alignment horizontal="justify" vertical="top"/>
    </xf>
    <xf numFmtId="9" fontId="2" fillId="22" borderId="1" xfId="0" applyNumberFormat="1" applyFont="1" applyFill="1" applyBorder="1" applyAlignment="1">
      <alignment horizontal="center" vertical="center"/>
    </xf>
    <xf numFmtId="0" fontId="2" fillId="0" borderId="7" xfId="0" applyFont="1" applyBorder="1" applyAlignment="1">
      <alignment horizontal="justify" vertical="top"/>
    </xf>
    <xf numFmtId="17" fontId="12" fillId="0" borderId="1" xfId="0" applyNumberFormat="1" applyFont="1" applyFill="1" applyBorder="1" applyAlignment="1">
      <alignment horizontal="center" vertical="top"/>
    </xf>
    <xf numFmtId="0" fontId="6" fillId="0" borderId="9" xfId="0" applyFont="1" applyFill="1" applyBorder="1" applyAlignment="1">
      <alignment horizontal="justify" vertical="top"/>
    </xf>
    <xf numFmtId="0" fontId="2" fillId="0" borderId="1" xfId="0" applyFont="1" applyFill="1" applyBorder="1"/>
    <xf numFmtId="0" fontId="2" fillId="0" borderId="9" xfId="0" applyFont="1" applyFill="1" applyBorder="1" applyAlignment="1">
      <alignment horizontal="justify" vertical="top"/>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0" xfId="0" applyFont="1" applyFill="1"/>
    <xf numFmtId="9" fontId="2" fillId="6"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12" fillId="0" borderId="1" xfId="0" applyFont="1" applyFill="1" applyBorder="1" applyAlignment="1" applyProtection="1">
      <alignment horizontal="justify" vertical="top" wrapText="1"/>
      <protection locked="0"/>
    </xf>
    <xf numFmtId="9" fontId="2" fillId="5" borderId="1" xfId="0" applyNumberFormat="1" applyFont="1" applyFill="1" applyBorder="1" applyAlignment="1">
      <alignment horizontal="center" vertical="center"/>
    </xf>
    <xf numFmtId="0" fontId="6" fillId="0" borderId="2" xfId="0" applyFont="1" applyFill="1" applyBorder="1"/>
    <xf numFmtId="0" fontId="17" fillId="0" borderId="1" xfId="0" applyFont="1" applyFill="1" applyBorder="1" applyAlignment="1" applyProtection="1">
      <alignment horizontal="justify" vertical="center" wrapText="1"/>
      <protection locked="0"/>
    </xf>
    <xf numFmtId="0" fontId="18" fillId="0" borderId="1" xfId="0" applyFont="1" applyFill="1" applyBorder="1" applyAlignment="1" applyProtection="1">
      <alignment horizontal="justify" vertical="center" wrapText="1"/>
      <protection locked="0"/>
    </xf>
    <xf numFmtId="0" fontId="8" fillId="20" borderId="1" xfId="0" applyFont="1" applyFill="1" applyBorder="1" applyAlignment="1">
      <alignment horizontal="justify" vertical="top"/>
    </xf>
    <xf numFmtId="0" fontId="6" fillId="20" borderId="1" xfId="0" applyFont="1" applyFill="1" applyBorder="1"/>
    <xf numFmtId="0" fontId="6" fillId="20" borderId="7" xfId="0" applyFont="1" applyFill="1" applyBorder="1"/>
    <xf numFmtId="17" fontId="12" fillId="20" borderId="7" xfId="0" applyNumberFormat="1" applyFont="1" applyFill="1" applyBorder="1" applyAlignment="1">
      <alignment horizontal="center" vertical="center"/>
    </xf>
    <xf numFmtId="0" fontId="6" fillId="20" borderId="7" xfId="0" applyFont="1" applyFill="1" applyBorder="1" applyAlignment="1">
      <alignment horizontal="justify" vertical="top"/>
    </xf>
    <xf numFmtId="0" fontId="0" fillId="20" borderId="0" xfId="0" applyFill="1"/>
    <xf numFmtId="0" fontId="0" fillId="20" borderId="1" xfId="0" applyFill="1" applyBorder="1"/>
    <xf numFmtId="0" fontId="18" fillId="0" borderId="1" xfId="0" applyFont="1" applyBorder="1" applyAlignment="1" applyProtection="1">
      <alignment horizontal="justify" vertical="top" wrapText="1"/>
      <protection locked="0"/>
    </xf>
    <xf numFmtId="0" fontId="18" fillId="0" borderId="1" xfId="0" applyFont="1" applyFill="1" applyBorder="1" applyAlignment="1" applyProtection="1">
      <alignment horizontal="center" vertical="center" wrapText="1"/>
      <protection locked="0"/>
    </xf>
    <xf numFmtId="9" fontId="6" fillId="5" borderId="1" xfId="0" applyNumberFormat="1" applyFont="1" applyFill="1" applyBorder="1" applyAlignment="1">
      <alignment horizontal="center" vertical="top"/>
    </xf>
    <xf numFmtId="0" fontId="2" fillId="0" borderId="7" xfId="0" applyFont="1" applyBorder="1" applyAlignment="1">
      <alignment horizontal="center" vertical="top" wrapText="1"/>
    </xf>
    <xf numFmtId="0" fontId="0" fillId="0" borderId="1" xfId="0" applyBorder="1" applyAlignment="1">
      <alignment vertical="center"/>
    </xf>
    <xf numFmtId="9" fontId="0" fillId="0" borderId="1" xfId="0" applyNumberFormat="1" applyFill="1" applyBorder="1" applyAlignment="1">
      <alignment horizontal="center" vertical="center"/>
    </xf>
    <xf numFmtId="9" fontId="0" fillId="0" borderId="1" xfId="0" applyNumberFormat="1" applyBorder="1" applyAlignment="1">
      <alignment horizontal="center" vertical="top"/>
    </xf>
    <xf numFmtId="0" fontId="6" fillId="0" borderId="8" xfId="0" applyFont="1" applyFill="1" applyBorder="1" applyAlignment="1">
      <alignment horizontal="justify" vertical="top"/>
    </xf>
    <xf numFmtId="0" fontId="12" fillId="24" borderId="1" xfId="0" applyFont="1" applyFill="1" applyBorder="1" applyAlignment="1" applyProtection="1">
      <alignment horizontal="justify" vertical="top" wrapText="1"/>
      <protection locked="0"/>
    </xf>
    <xf numFmtId="0" fontId="12" fillId="0" borderId="10" xfId="0" applyFont="1" applyFill="1" applyBorder="1" applyAlignment="1" applyProtection="1">
      <alignment horizontal="justify" vertical="top"/>
      <protection locked="0"/>
    </xf>
    <xf numFmtId="0" fontId="6" fillId="0" borderId="1" xfId="0" applyFont="1" applyFill="1" applyBorder="1" applyAlignment="1">
      <alignment wrapText="1"/>
    </xf>
    <xf numFmtId="0" fontId="18" fillId="0" borderId="1" xfId="1" applyFont="1" applyFill="1" applyBorder="1" applyAlignment="1" applyProtection="1">
      <alignment horizontal="justify" vertical="top" wrapText="1"/>
      <protection locked="0"/>
    </xf>
    <xf numFmtId="0" fontId="0" fillId="0" borderId="7" xfId="0" applyBorder="1" applyAlignment="1"/>
    <xf numFmtId="0" fontId="18" fillId="0" borderId="1" xfId="0" applyFont="1" applyBorder="1" applyAlignment="1">
      <alignment horizontal="justify" vertical="top"/>
    </xf>
    <xf numFmtId="0" fontId="0" fillId="0" borderId="7" xfId="0" applyBorder="1" applyAlignment="1">
      <alignment vertical="top"/>
    </xf>
    <xf numFmtId="0" fontId="6" fillId="0" borderId="7" xfId="0" applyFont="1" applyFill="1" applyBorder="1" applyAlignment="1">
      <alignment horizontal="center" vertical="top" wrapText="1"/>
    </xf>
    <xf numFmtId="0" fontId="12" fillId="0" borderId="1" xfId="0" applyFont="1" applyBorder="1" applyAlignment="1" applyProtection="1">
      <alignment horizontal="justify" vertical="top" wrapText="1"/>
      <protection locked="0"/>
    </xf>
    <xf numFmtId="0" fontId="0" fillId="0" borderId="8" xfId="0" applyBorder="1" applyAlignment="1"/>
    <xf numFmtId="0" fontId="0" fillId="0" borderId="7" xfId="0" applyBorder="1" applyAlignment="1">
      <alignment horizontal="center" vertical="top" wrapText="1"/>
    </xf>
    <xf numFmtId="0" fontId="0" fillId="0" borderId="0" xfId="0" applyAlignment="1">
      <alignment vertical="center"/>
    </xf>
    <xf numFmtId="0" fontId="0" fillId="0" borderId="0" xfId="0" applyAlignment="1">
      <alignment vertical="center" wrapText="1"/>
    </xf>
    <xf numFmtId="0" fontId="0" fillId="17" borderId="0" xfId="0" applyFill="1"/>
    <xf numFmtId="0" fontId="10" fillId="18" borderId="1" xfId="0" applyFont="1" applyFill="1" applyBorder="1" applyAlignment="1"/>
    <xf numFmtId="0" fontId="10" fillId="18" borderId="3" xfId="0" applyFont="1" applyFill="1" applyBorder="1" applyAlignment="1"/>
    <xf numFmtId="0" fontId="3" fillId="11" borderId="6" xfId="0" applyFont="1" applyFill="1" applyBorder="1" applyAlignment="1">
      <alignment horizontal="center" vertical="center"/>
    </xf>
    <xf numFmtId="0" fontId="11" fillId="18" borderId="1" xfId="0" applyFont="1" applyFill="1" applyBorder="1" applyAlignment="1">
      <alignment horizontal="center" vertical="center"/>
    </xf>
    <xf numFmtId="0" fontId="11" fillId="18" borderId="4" xfId="0" applyFont="1" applyFill="1" applyBorder="1" applyAlignment="1">
      <alignment horizontal="center" vertical="center"/>
    </xf>
    <xf numFmtId="0" fontId="10" fillId="21" borderId="6" xfId="0" applyFont="1" applyFill="1" applyBorder="1" applyAlignment="1">
      <alignment vertical="center" wrapText="1"/>
    </xf>
    <xf numFmtId="0" fontId="6" fillId="0" borderId="2" xfId="0" applyFont="1" applyFill="1" applyBorder="1" applyAlignment="1">
      <alignment horizontal="justify" vertical="top"/>
    </xf>
    <xf numFmtId="0" fontId="6" fillId="0" borderId="4" xfId="0" applyFont="1" applyFill="1" applyBorder="1" applyAlignment="1">
      <alignment horizontal="justify" vertical="top"/>
    </xf>
    <xf numFmtId="0" fontId="10" fillId="0" borderId="1" xfId="0" applyFont="1" applyFill="1" applyBorder="1" applyAlignment="1">
      <alignment horizontal="center" vertical="center"/>
    </xf>
    <xf numFmtId="0" fontId="0" fillId="0" borderId="1" xfId="0" applyFill="1" applyBorder="1"/>
    <xf numFmtId="0" fontId="0" fillId="0" borderId="1" xfId="0" applyBorder="1" applyAlignment="1">
      <alignment vertical="center" wrapText="1"/>
    </xf>
    <xf numFmtId="0" fontId="0" fillId="25" borderId="1" xfId="0" applyFill="1" applyBorder="1"/>
    <xf numFmtId="0" fontId="10" fillId="0" borderId="1" xfId="0" applyFont="1" applyFill="1" applyBorder="1" applyAlignment="1">
      <alignment horizontal="justify" vertical="top"/>
    </xf>
    <xf numFmtId="0" fontId="0" fillId="0" borderId="0" xfId="0" applyFill="1"/>
    <xf numFmtId="17" fontId="12" fillId="0" borderId="7" xfId="0" applyNumberFormat="1" applyFont="1" applyFill="1" applyBorder="1" applyAlignment="1">
      <alignment horizontal="center" vertical="top"/>
    </xf>
    <xf numFmtId="0" fontId="2" fillId="0" borderId="4" xfId="0" applyFont="1" applyFill="1" applyBorder="1" applyAlignment="1">
      <alignment horizontal="justify" vertical="top"/>
    </xf>
    <xf numFmtId="0" fontId="6" fillId="7" borderId="1" xfId="0" applyFont="1" applyFill="1" applyBorder="1" applyAlignment="1">
      <alignment horizontal="justify" vertical="top"/>
    </xf>
    <xf numFmtId="0" fontId="12" fillId="0" borderId="7" xfId="0" applyFont="1" applyFill="1" applyBorder="1" applyAlignment="1" applyProtection="1">
      <alignment horizontal="justify" vertical="top"/>
      <protection locked="0"/>
    </xf>
    <xf numFmtId="0" fontId="6" fillId="0" borderId="7" xfId="0" applyFont="1" applyFill="1" applyBorder="1" applyAlignment="1">
      <alignment horizontal="center" vertical="center"/>
    </xf>
    <xf numFmtId="0" fontId="0" fillId="0" borderId="7" xfId="0" applyFill="1" applyBorder="1" applyAlignment="1">
      <alignment horizontal="center" vertical="center"/>
    </xf>
    <xf numFmtId="17" fontId="6" fillId="0" borderId="1" xfId="0" applyNumberFormat="1" applyFont="1" applyFill="1" applyBorder="1" applyAlignment="1">
      <alignment horizontal="center" vertical="top"/>
    </xf>
    <xf numFmtId="0" fontId="6" fillId="0" borderId="1" xfId="0" applyFont="1" applyFill="1" applyBorder="1" applyAlignment="1">
      <alignment vertical="center" wrapText="1"/>
    </xf>
    <xf numFmtId="0" fontId="12" fillId="0" borderId="7" xfId="0" applyFont="1" applyFill="1" applyBorder="1" applyAlignment="1" applyProtection="1">
      <alignment horizontal="justify" vertical="top" wrapText="1"/>
      <protection locked="0"/>
    </xf>
    <xf numFmtId="10" fontId="6" fillId="0" borderId="1" xfId="0" applyNumberFormat="1" applyFont="1" applyFill="1" applyBorder="1" applyAlignment="1">
      <alignment horizontal="center" vertical="center"/>
    </xf>
    <xf numFmtId="17" fontId="2" fillId="0" borderId="1" xfId="0" applyNumberFormat="1" applyFont="1" applyFill="1" applyBorder="1" applyAlignment="1">
      <alignment horizontal="center" vertical="top"/>
    </xf>
    <xf numFmtId="9" fontId="6" fillId="0"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0" fillId="7" borderId="1" xfId="0" applyFill="1" applyBorder="1" applyAlignment="1">
      <alignment vertical="center" wrapText="1"/>
    </xf>
    <xf numFmtId="0" fontId="0" fillId="14" borderId="1" xfId="0" applyFill="1" applyBorder="1" applyAlignment="1">
      <alignment vertical="center" wrapText="1"/>
    </xf>
    <xf numFmtId="0" fontId="6" fillId="7" borderId="1" xfId="0" applyFont="1" applyFill="1" applyBorder="1"/>
    <xf numFmtId="0" fontId="0" fillId="14" borderId="1" xfId="0" applyFill="1" applyBorder="1" applyAlignment="1">
      <alignment horizontal="justify" vertical="top"/>
    </xf>
    <xf numFmtId="0" fontId="12" fillId="0" borderId="1" xfId="0" applyFont="1" applyFill="1" applyBorder="1" applyAlignment="1" applyProtection="1">
      <alignment horizontal="center" vertical="center" wrapText="1"/>
      <protection locked="0"/>
    </xf>
    <xf numFmtId="0" fontId="12" fillId="7" borderId="1" xfId="0" applyFont="1" applyFill="1" applyBorder="1" applyAlignment="1" applyProtection="1">
      <alignment horizontal="center" vertical="center" wrapText="1"/>
      <protection locked="0"/>
    </xf>
    <xf numFmtId="0" fontId="6" fillId="0" borderId="6" xfId="0" applyFont="1" applyFill="1" applyBorder="1" applyAlignment="1">
      <alignment horizontal="justify" vertical="top"/>
    </xf>
    <xf numFmtId="0" fontId="6" fillId="3"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22" borderId="1" xfId="0" applyFont="1" applyFill="1" applyBorder="1" applyAlignment="1">
      <alignment horizontal="center" vertical="center"/>
    </xf>
    <xf numFmtId="0" fontId="21" fillId="0" borderId="1" xfId="2" applyFont="1" applyFill="1" applyBorder="1" applyAlignment="1" applyProtection="1">
      <alignment horizontal="center" vertical="top" wrapText="1"/>
      <protection locked="0"/>
    </xf>
    <xf numFmtId="0" fontId="22" fillId="0" borderId="1" xfId="0" applyFont="1" applyBorder="1" applyAlignment="1">
      <alignment horizontal="justify"/>
    </xf>
    <xf numFmtId="0" fontId="10" fillId="18" borderId="4" xfId="0" applyFont="1" applyFill="1" applyBorder="1" applyAlignment="1"/>
    <xf numFmtId="0" fontId="3" fillId="11" borderId="1" xfId="0" applyFont="1" applyFill="1" applyBorder="1" applyAlignment="1">
      <alignment horizontal="center" vertical="center"/>
    </xf>
    <xf numFmtId="0" fontId="10" fillId="10" borderId="6" xfId="0" applyFont="1" applyFill="1" applyBorder="1" applyAlignment="1">
      <alignment horizontal="justify" vertical="center"/>
    </xf>
    <xf numFmtId="0" fontId="10" fillId="20" borderId="6" xfId="0" applyFont="1" applyFill="1" applyBorder="1" applyAlignment="1">
      <alignment horizontal="justify" vertical="center"/>
    </xf>
    <xf numFmtId="0" fontId="10" fillId="9" borderId="6" xfId="0" applyFont="1" applyFill="1" applyBorder="1" applyAlignment="1">
      <alignment horizontal="justify" vertical="center"/>
    </xf>
    <xf numFmtId="17" fontId="25" fillId="0" borderId="1" xfId="0" applyNumberFormat="1" applyFont="1" applyFill="1" applyBorder="1" applyAlignment="1">
      <alignment horizontal="center" vertical="top"/>
    </xf>
    <xf numFmtId="9" fontId="0" fillId="0" borderId="1" xfId="0" applyNumberFormat="1" applyFill="1" applyBorder="1" applyAlignment="1">
      <alignment horizontal="center" vertical="top"/>
    </xf>
    <xf numFmtId="0" fontId="0" fillId="9" borderId="1" xfId="0" applyFill="1" applyBorder="1" applyAlignment="1">
      <alignment horizontal="justify" vertical="center"/>
    </xf>
    <xf numFmtId="0" fontId="0" fillId="0" borderId="1" xfId="0" applyFill="1" applyBorder="1" applyAlignment="1">
      <alignment horizontal="justify" vertical="center"/>
    </xf>
    <xf numFmtId="0" fontId="0" fillId="7" borderId="1" xfId="0" applyFill="1" applyBorder="1" applyAlignment="1">
      <alignment horizontal="justify" vertical="center"/>
    </xf>
    <xf numFmtId="0" fontId="0" fillId="0" borderId="7" xfId="0" applyFill="1" applyBorder="1" applyAlignment="1">
      <alignment horizontal="justify" vertical="center"/>
    </xf>
    <xf numFmtId="9" fontId="0" fillId="0" borderId="7" xfId="0" applyNumberFormat="1" applyFill="1" applyBorder="1" applyAlignment="1">
      <alignment horizontal="center" vertical="center"/>
    </xf>
    <xf numFmtId="0" fontId="18" fillId="0" borderId="1" xfId="0" applyFont="1" applyBorder="1" applyAlignment="1" applyProtection="1">
      <alignment horizontal="justify" vertical="center" wrapText="1"/>
      <protection locked="0"/>
    </xf>
    <xf numFmtId="0" fontId="18" fillId="0" borderId="1" xfId="0" applyFont="1" applyBorder="1" applyAlignment="1">
      <alignment wrapText="1"/>
    </xf>
    <xf numFmtId="0" fontId="18" fillId="0" borderId="1" xfId="0" applyFont="1" applyFill="1" applyBorder="1" applyAlignment="1" applyProtection="1">
      <alignment horizontal="justify" vertical="center"/>
      <protection locked="0"/>
    </xf>
    <xf numFmtId="0" fontId="0" fillId="0" borderId="6" xfId="0" applyBorder="1" applyAlignment="1">
      <alignment wrapText="1"/>
    </xf>
    <xf numFmtId="0" fontId="18" fillId="0" borderId="6" xfId="0" applyFont="1" applyBorder="1" applyAlignment="1" applyProtection="1">
      <alignment horizontal="justify" vertical="center" wrapText="1"/>
      <protection locked="0"/>
    </xf>
    <xf numFmtId="0" fontId="6" fillId="0" borderId="1" xfId="0" applyFont="1" applyFill="1" applyBorder="1" applyAlignment="1">
      <alignment horizontal="justify" wrapText="1"/>
    </xf>
    <xf numFmtId="49" fontId="6" fillId="0" borderId="1" xfId="0" applyNumberFormat="1" applyFont="1" applyFill="1" applyBorder="1" applyAlignment="1">
      <alignment vertical="top" wrapText="1"/>
    </xf>
    <xf numFmtId="49" fontId="6" fillId="0" borderId="1" xfId="0" applyNumberFormat="1" applyFont="1" applyFill="1" applyBorder="1" applyAlignment="1">
      <alignment horizontal="justify" vertical="top" wrapText="1"/>
    </xf>
    <xf numFmtId="49" fontId="6" fillId="9" borderId="1" xfId="0" applyNumberFormat="1" applyFont="1" applyFill="1" applyBorder="1" applyAlignment="1">
      <alignment vertical="top" wrapText="1"/>
    </xf>
    <xf numFmtId="0" fontId="17" fillId="0" borderId="7" xfId="0" applyFont="1" applyFill="1" applyBorder="1" applyAlignment="1" applyProtection="1">
      <alignment horizontal="center" vertical="center" wrapText="1"/>
      <protection locked="0"/>
    </xf>
    <xf numFmtId="49" fontId="6" fillId="7" borderId="1" xfId="0" applyNumberFormat="1" applyFont="1" applyFill="1" applyBorder="1" applyAlignment="1">
      <alignment horizontal="justify" vertical="top" wrapText="1"/>
    </xf>
    <xf numFmtId="0" fontId="0" fillId="0" borderId="2" xfId="0" applyBorder="1" applyAlignment="1">
      <alignment wrapText="1"/>
    </xf>
    <xf numFmtId="49" fontId="0" fillId="0" borderId="1" xfId="0" applyNumberFormat="1" applyBorder="1" applyAlignment="1">
      <alignment vertical="top" wrapText="1"/>
    </xf>
    <xf numFmtId="0" fontId="26" fillId="0" borderId="1" xfId="0" applyFont="1" applyFill="1" applyBorder="1" applyAlignment="1">
      <alignment horizontal="left" vertical="top" wrapText="1"/>
    </xf>
    <xf numFmtId="0" fontId="6" fillId="0" borderId="1" xfId="0" applyFont="1" applyFill="1" applyBorder="1" applyAlignment="1">
      <alignment vertical="top"/>
    </xf>
    <xf numFmtId="9" fontId="6" fillId="6" borderId="1" xfId="0" applyNumberFormat="1" applyFont="1" applyFill="1" applyBorder="1" applyAlignment="1">
      <alignment vertical="top"/>
    </xf>
    <xf numFmtId="9" fontId="6" fillId="4" borderId="1" xfId="0" applyNumberFormat="1" applyFont="1" applyFill="1" applyBorder="1" applyAlignment="1">
      <alignment vertical="top"/>
    </xf>
    <xf numFmtId="9" fontId="6" fillId="17" borderId="1" xfId="0" applyNumberFormat="1" applyFont="1" applyFill="1" applyBorder="1" applyAlignment="1">
      <alignment vertical="top"/>
    </xf>
    <xf numFmtId="0" fontId="0" fillId="0" borderId="1" xfId="0" applyFill="1" applyBorder="1" applyAlignment="1">
      <alignment horizontal="justify" vertical="top" wrapText="1"/>
    </xf>
    <xf numFmtId="0" fontId="6" fillId="0" borderId="1" xfId="0" applyFont="1" applyFill="1" applyBorder="1" applyAlignment="1">
      <alignment horizontal="justify" vertical="top" wrapText="1"/>
    </xf>
    <xf numFmtId="0" fontId="6" fillId="0" borderId="0" xfId="0" applyFont="1" applyBorder="1" applyAlignment="1" applyProtection="1">
      <alignment horizontal="justify" vertical="top" wrapText="1"/>
      <protection locked="0"/>
    </xf>
    <xf numFmtId="0" fontId="0" fillId="9" borderId="1" xfId="0" applyFill="1" applyBorder="1" applyAlignment="1">
      <alignment horizontal="justify" vertical="top" wrapText="1"/>
    </xf>
    <xf numFmtId="0" fontId="18" fillId="0" borderId="11" xfId="0" applyFont="1" applyFill="1" applyBorder="1" applyAlignment="1" applyProtection="1">
      <alignment horizontal="center" vertical="center" wrapText="1"/>
      <protection locked="0"/>
    </xf>
    <xf numFmtId="0" fontId="0" fillId="0" borderId="2" xfId="0" applyBorder="1" applyAlignment="1">
      <alignment vertical="center" wrapText="1"/>
    </xf>
    <xf numFmtId="0" fontId="12" fillId="9" borderId="1" xfId="0" applyFont="1" applyFill="1" applyBorder="1" applyAlignment="1" applyProtection="1">
      <alignment horizontal="justify" vertical="top" wrapText="1"/>
      <protection locked="0"/>
    </xf>
    <xf numFmtId="0" fontId="0" fillId="7" borderId="2" xfId="0" applyFill="1" applyBorder="1"/>
    <xf numFmtId="0" fontId="0" fillId="0" borderId="2" xfId="0" applyBorder="1" applyAlignment="1">
      <alignment horizontal="justify" vertical="top" wrapText="1"/>
    </xf>
    <xf numFmtId="0" fontId="0" fillId="0" borderId="1" xfId="0" applyBorder="1" applyAlignment="1">
      <alignment wrapText="1"/>
    </xf>
    <xf numFmtId="49" fontId="12" fillId="0" borderId="1" xfId="0" applyNumberFormat="1" applyFont="1" applyFill="1" applyBorder="1" applyAlignment="1" applyProtection="1">
      <alignment horizontal="justify" vertical="top" wrapText="1"/>
      <protection locked="0"/>
    </xf>
    <xf numFmtId="9" fontId="0" fillId="7" borderId="1" xfId="0" applyNumberFormat="1" applyFill="1" applyBorder="1" applyAlignment="1">
      <alignment horizontal="center" vertical="top"/>
    </xf>
    <xf numFmtId="0" fontId="12" fillId="7" borderId="11" xfId="0" applyFont="1" applyFill="1" applyBorder="1" applyAlignment="1" applyProtection="1">
      <alignment horizontal="justify" vertical="top"/>
      <protection locked="0"/>
    </xf>
    <xf numFmtId="0" fontId="28" fillId="24" borderId="1" xfId="3" applyFont="1" applyFill="1" applyBorder="1" applyAlignment="1" applyProtection="1">
      <alignment horizontal="center" vertical="top" wrapText="1"/>
      <protection locked="0"/>
    </xf>
    <xf numFmtId="0" fontId="12" fillId="0" borderId="11" xfId="0" applyFont="1" applyFill="1" applyBorder="1" applyAlignment="1" applyProtection="1">
      <alignment horizontal="justify" vertical="top"/>
      <protection locked="0"/>
    </xf>
    <xf numFmtId="9" fontId="6" fillId="0" borderId="6" xfId="0" applyNumberFormat="1" applyFont="1" applyFill="1" applyBorder="1" applyAlignment="1">
      <alignment horizontal="center" vertical="center"/>
    </xf>
    <xf numFmtId="0" fontId="6" fillId="0" borderId="6" xfId="0" applyFont="1" applyFill="1" applyBorder="1"/>
    <xf numFmtId="0" fontId="18" fillId="0" borderId="12" xfId="0" applyFont="1" applyFill="1" applyBorder="1" applyAlignment="1" applyProtection="1">
      <alignment horizontal="justify" vertical="center" wrapText="1"/>
      <protection locked="0"/>
    </xf>
    <xf numFmtId="0" fontId="17" fillId="0" borderId="7" xfId="0" applyFont="1" applyFill="1" applyBorder="1" applyAlignment="1" applyProtection="1">
      <alignment horizontal="justify" vertical="top" wrapText="1"/>
      <protection locked="0"/>
    </xf>
    <xf numFmtId="9" fontId="2" fillId="26" borderId="1" xfId="0" applyNumberFormat="1" applyFont="1" applyFill="1" applyBorder="1" applyAlignment="1">
      <alignment horizontal="center" vertical="center"/>
    </xf>
    <xf numFmtId="0" fontId="17" fillId="0" borderId="1" xfId="0" applyFont="1" applyFill="1" applyBorder="1" applyAlignment="1" applyProtection="1">
      <alignment horizontal="justify" vertical="top" wrapText="1"/>
      <protection locked="0"/>
    </xf>
    <xf numFmtId="0" fontId="18" fillId="0" borderId="13" xfId="0" applyFont="1" applyFill="1" applyBorder="1" applyAlignment="1" applyProtection="1">
      <alignment horizontal="justify" vertical="center" wrapText="1"/>
      <protection locked="0"/>
    </xf>
    <xf numFmtId="0" fontId="12" fillId="0" borderId="1" xfId="0" applyNumberFormat="1" applyFont="1" applyFill="1" applyBorder="1" applyAlignment="1" applyProtection="1">
      <alignment horizontal="justify" vertical="top" wrapText="1"/>
      <protection locked="0"/>
    </xf>
    <xf numFmtId="0" fontId="18" fillId="0" borderId="11" xfId="0" applyFont="1" applyFill="1" applyBorder="1" applyAlignment="1" applyProtection="1">
      <alignment horizontal="justify" vertical="center" wrapText="1"/>
      <protection locked="0"/>
    </xf>
    <xf numFmtId="0" fontId="18" fillId="0" borderId="6" xfId="0" applyFont="1" applyFill="1" applyBorder="1" applyAlignment="1" applyProtection="1">
      <alignment horizontal="justify" vertical="center" wrapText="1"/>
      <protection locked="0"/>
    </xf>
    <xf numFmtId="0" fontId="6" fillId="6" borderId="1" xfId="0" applyFont="1" applyFill="1" applyBorder="1"/>
    <xf numFmtId="0" fontId="18" fillId="9" borderId="12" xfId="0" applyFont="1" applyFill="1" applyBorder="1" applyAlignment="1" applyProtection="1">
      <alignment horizontal="justify" vertical="center" wrapText="1"/>
      <protection locked="0"/>
    </xf>
    <xf numFmtId="0" fontId="6" fillId="25" borderId="1" xfId="0" applyFont="1" applyFill="1" applyBorder="1"/>
    <xf numFmtId="0" fontId="2" fillId="11" borderId="1" xfId="0" applyFont="1" applyFill="1" applyBorder="1" applyAlignment="1">
      <alignment horizontal="justify" vertical="top"/>
    </xf>
    <xf numFmtId="0" fontId="6" fillId="11" borderId="1" xfId="0" applyFont="1" applyFill="1" applyBorder="1"/>
    <xf numFmtId="0" fontId="2" fillId="11" borderId="4" xfId="0" applyFont="1" applyFill="1" applyBorder="1" applyAlignment="1">
      <alignment horizontal="justify" vertical="top"/>
    </xf>
    <xf numFmtId="0" fontId="0" fillId="8" borderId="1" xfId="0" applyFill="1" applyBorder="1"/>
    <xf numFmtId="0" fontId="4" fillId="0" borderId="0" xfId="0" applyFont="1" applyAlignment="1"/>
    <xf numFmtId="0" fontId="4" fillId="0" borderId="5" xfId="0" applyFont="1" applyBorder="1" applyAlignment="1"/>
    <xf numFmtId="0" fontId="10" fillId="18" borderId="1" xfId="0" applyFont="1" applyFill="1" applyBorder="1" applyAlignment="1">
      <alignment horizontal="center" vertical="center"/>
    </xf>
    <xf numFmtId="0" fontId="3" fillId="10" borderId="7" xfId="0" applyFont="1" applyFill="1" applyBorder="1" applyAlignment="1">
      <alignment horizontal="justify" vertical="center"/>
    </xf>
    <xf numFmtId="0" fontId="3" fillId="0" borderId="1" xfId="0" applyFont="1" applyFill="1" applyBorder="1" applyAlignment="1">
      <alignment horizontal="justify" vertical="top"/>
    </xf>
    <xf numFmtId="0" fontId="0" fillId="0" borderId="6" xfId="0" applyFill="1" applyBorder="1" applyAlignment="1">
      <alignment horizontal="justify" vertical="top" wrapText="1"/>
    </xf>
    <xf numFmtId="0" fontId="0" fillId="2" borderId="1" xfId="0" applyFill="1" applyBorder="1" applyAlignment="1">
      <alignment horizontal="justify" vertical="top"/>
    </xf>
    <xf numFmtId="0" fontId="0" fillId="0" borderId="6" xfId="0" applyFill="1" applyBorder="1" applyAlignment="1">
      <alignment horizontal="justify" vertical="top"/>
    </xf>
    <xf numFmtId="0" fontId="0" fillId="0" borderId="1" xfId="0" applyFill="1" applyBorder="1" applyAlignment="1">
      <alignment vertical="top" wrapText="1"/>
    </xf>
    <xf numFmtId="10" fontId="0" fillId="0" borderId="1" xfId="0" applyNumberFormat="1" applyFill="1" applyBorder="1" applyAlignment="1">
      <alignment horizontal="center" vertical="center"/>
    </xf>
    <xf numFmtId="0" fontId="0" fillId="0" borderId="8" xfId="0" applyFill="1" applyBorder="1" applyAlignment="1">
      <alignment horizontal="justify" vertical="top" wrapText="1"/>
    </xf>
    <xf numFmtId="9" fontId="0" fillId="3" borderId="1" xfId="0" applyNumberFormat="1" applyFill="1" applyBorder="1" applyAlignment="1">
      <alignment horizontal="center" vertical="center"/>
    </xf>
    <xf numFmtId="9" fontId="0" fillId="4" borderId="1" xfId="0" applyNumberFormat="1" applyFill="1" applyBorder="1" applyAlignment="1">
      <alignment horizontal="center" vertical="center"/>
    </xf>
    <xf numFmtId="9" fontId="0" fillId="22" borderId="1" xfId="0" applyNumberFormat="1" applyFill="1" applyBorder="1" applyAlignment="1">
      <alignment horizontal="center" vertical="center"/>
    </xf>
    <xf numFmtId="9" fontId="0" fillId="5" borderId="1" xfId="0" applyNumberFormat="1" applyFill="1" applyBorder="1" applyAlignment="1">
      <alignment horizontal="center" vertical="center"/>
    </xf>
    <xf numFmtId="9" fontId="0" fillId="6" borderId="1" xfId="0" applyNumberFormat="1" applyFill="1" applyBorder="1" applyAlignment="1">
      <alignment horizontal="center" vertical="center"/>
    </xf>
    <xf numFmtId="0" fontId="0" fillId="0" borderId="14" xfId="0" applyFill="1" applyBorder="1" applyAlignment="1">
      <alignment vertical="top" wrapText="1"/>
    </xf>
    <xf numFmtId="0" fontId="12" fillId="7" borderId="1" xfId="0" applyNumberFormat="1" applyFont="1" applyFill="1" applyBorder="1" applyAlignment="1" applyProtection="1">
      <alignment horizontal="justify" vertical="top" wrapText="1"/>
      <protection locked="0"/>
    </xf>
    <xf numFmtId="0" fontId="6" fillId="24" borderId="1" xfId="0" applyFont="1" applyFill="1" applyBorder="1" applyAlignment="1" applyProtection="1">
      <alignment horizontal="justify" vertical="top"/>
      <protection locked="0"/>
    </xf>
    <xf numFmtId="0" fontId="0" fillId="0" borderId="6" xfId="0" applyFill="1" applyBorder="1"/>
    <xf numFmtId="17" fontId="30" fillId="0" borderId="1" xfId="0" applyNumberFormat="1" applyFont="1" applyFill="1" applyBorder="1" applyAlignment="1">
      <alignment horizontal="center" vertical="top"/>
    </xf>
    <xf numFmtId="0" fontId="0" fillId="0" borderId="4" xfId="0" applyFont="1" applyFill="1" applyBorder="1" applyAlignment="1">
      <alignment horizontal="justify" vertical="top"/>
    </xf>
    <xf numFmtId="0" fontId="0" fillId="0" borderId="8" xfId="0" applyFill="1" applyBorder="1" applyAlignment="1">
      <alignment horizontal="justify" vertical="top"/>
    </xf>
    <xf numFmtId="0" fontId="0" fillId="0" borderId="1" xfId="0" applyFill="1" applyBorder="1" applyAlignment="1">
      <alignment horizontal="justify"/>
    </xf>
    <xf numFmtId="0" fontId="18" fillId="0" borderId="1" xfId="0" applyFont="1" applyFill="1" applyBorder="1" applyAlignment="1" applyProtection="1">
      <alignment horizontal="justify" vertical="top"/>
      <protection locked="0"/>
    </xf>
    <xf numFmtId="9" fontId="0" fillId="0" borderId="14" xfId="0" applyNumberFormat="1" applyFill="1" applyBorder="1" applyAlignment="1">
      <alignment horizontal="center" vertical="center" wrapText="1"/>
    </xf>
    <xf numFmtId="49" fontId="6" fillId="0" borderId="1" xfId="0" applyNumberFormat="1" applyFont="1" applyFill="1" applyBorder="1" applyAlignment="1" applyProtection="1">
      <alignment horizontal="justify" vertical="top" wrapText="1"/>
      <protection locked="0"/>
    </xf>
    <xf numFmtId="0" fontId="0" fillId="0" borderId="4" xfId="0" applyFill="1" applyBorder="1"/>
    <xf numFmtId="0" fontId="0" fillId="0" borderId="14" xfId="0" applyBorder="1"/>
    <xf numFmtId="0" fontId="0" fillId="0" borderId="7" xfId="0" applyFill="1" applyBorder="1"/>
    <xf numFmtId="0" fontId="0" fillId="0" borderId="2" xfId="0" applyFill="1" applyBorder="1" applyAlignment="1">
      <alignment vertical="top" wrapText="1"/>
    </xf>
    <xf numFmtId="0" fontId="0" fillId="0" borderId="2" xfId="0" applyFill="1" applyBorder="1" applyAlignment="1">
      <alignment horizontal="justify" vertical="top"/>
    </xf>
    <xf numFmtId="0" fontId="6" fillId="0" borderId="1" xfId="0" applyFont="1" applyBorder="1" applyAlignment="1" applyProtection="1">
      <alignment horizontal="justify" vertical="top" wrapText="1"/>
      <protection locked="0"/>
    </xf>
    <xf numFmtId="0" fontId="3" fillId="0" borderId="8" xfId="0" applyFont="1" applyFill="1" applyBorder="1" applyAlignment="1">
      <alignment horizontal="justify" vertical="top"/>
    </xf>
    <xf numFmtId="0" fontId="0" fillId="0" borderId="2" xfId="0" applyFill="1" applyBorder="1"/>
    <xf numFmtId="0" fontId="0" fillId="0" borderId="1" xfId="0" applyFill="1" applyBorder="1" applyAlignment="1" applyProtection="1">
      <alignment horizontal="justify" vertical="top"/>
      <protection locked="0"/>
    </xf>
    <xf numFmtId="0" fontId="18" fillId="0" borderId="1" xfId="0" applyFont="1" applyFill="1" applyBorder="1" applyAlignment="1">
      <alignment horizontal="justify" vertical="top"/>
    </xf>
    <xf numFmtId="0" fontId="6" fillId="0" borderId="7" xfId="0" applyFont="1" applyBorder="1" applyAlignment="1" applyProtection="1">
      <alignment horizontal="justify" vertical="top" wrapText="1"/>
      <protection locked="0"/>
    </xf>
    <xf numFmtId="0" fontId="6" fillId="0" borderId="1" xfId="0" applyFont="1" applyFill="1" applyBorder="1" applyAlignment="1" applyProtection="1">
      <alignment horizontal="justify" vertical="top" wrapText="1"/>
      <protection locked="0"/>
    </xf>
    <xf numFmtId="0" fontId="0" fillId="0" borderId="1" xfId="0" applyFont="1" applyFill="1" applyBorder="1" applyAlignment="1">
      <alignment horizontal="justify" vertical="top"/>
    </xf>
    <xf numFmtId="0" fontId="12" fillId="7" borderId="1" xfId="0" applyFont="1" applyFill="1" applyBorder="1" applyAlignment="1" applyProtection="1">
      <alignment horizontal="justify" vertical="top" wrapText="1"/>
      <protection locked="0"/>
    </xf>
    <xf numFmtId="0" fontId="0" fillId="10" borderId="7" xfId="0" applyFill="1" applyBorder="1" applyAlignment="1">
      <alignment horizontal="justify" vertical="center"/>
    </xf>
    <xf numFmtId="0" fontId="31" fillId="24" borderId="1" xfId="0" applyFont="1" applyFill="1" applyBorder="1" applyAlignment="1" applyProtection="1">
      <alignment horizontal="center" vertical="center" wrapText="1"/>
      <protection locked="0"/>
    </xf>
    <xf numFmtId="0" fontId="0" fillId="7" borderId="1" xfId="0" applyFill="1" applyBorder="1" applyAlignment="1">
      <alignment horizontal="justify" vertical="top"/>
    </xf>
    <xf numFmtId="9" fontId="0" fillId="27" borderId="1" xfId="0" applyNumberFormat="1" applyFill="1" applyBorder="1" applyAlignment="1">
      <alignment horizontal="center" vertical="center"/>
    </xf>
    <xf numFmtId="10" fontId="0" fillId="0" borderId="1" xfId="0" applyNumberFormat="1" applyBorder="1" applyAlignment="1">
      <alignment horizontal="center" vertical="center"/>
    </xf>
    <xf numFmtId="0" fontId="0" fillId="0" borderId="1" xfId="0" applyBorder="1" applyAlignment="1">
      <alignment horizontal="justify"/>
    </xf>
    <xf numFmtId="0" fontId="0" fillId="0" borderId="6" xfId="0" applyBorder="1"/>
    <xf numFmtId="0" fontId="0" fillId="0" borderId="0" xfId="0" applyBorder="1" applyAlignment="1">
      <alignment horizontal="justify"/>
    </xf>
    <xf numFmtId="9" fontId="0" fillId="0" borderId="0" xfId="0" applyNumberFormat="1" applyBorder="1" applyAlignment="1">
      <alignment horizontal="center" vertical="center"/>
    </xf>
    <xf numFmtId="0" fontId="0" fillId="0" borderId="0" xfId="0" applyBorder="1" applyAlignment="1">
      <alignment horizontal="justify" vertical="top"/>
    </xf>
    <xf numFmtId="0" fontId="0" fillId="0" borderId="16" xfId="0" applyBorder="1"/>
    <xf numFmtId="49" fontId="2" fillId="0" borderId="1" xfId="0" applyNumberFormat="1" applyFont="1" applyFill="1" applyBorder="1" applyAlignment="1">
      <alignment vertical="top" wrapText="1"/>
    </xf>
    <xf numFmtId="9" fontId="6" fillId="17" borderId="1" xfId="0" applyNumberFormat="1" applyFont="1" applyFill="1" applyBorder="1" applyAlignment="1">
      <alignment horizontal="center" vertical="center"/>
    </xf>
    <xf numFmtId="0" fontId="6" fillId="9" borderId="1" xfId="0" applyFont="1" applyFill="1" applyBorder="1" applyAlignment="1">
      <alignment horizontal="justify" vertical="top"/>
    </xf>
    <xf numFmtId="0" fontId="32" fillId="0" borderId="1" xfId="0" applyFont="1" applyBorder="1"/>
    <xf numFmtId="0" fontId="18" fillId="24" borderId="1" xfId="0" applyFont="1" applyFill="1" applyBorder="1" applyAlignment="1" applyProtection="1">
      <alignment horizontal="justify" vertical="top" wrapText="1"/>
      <protection locked="0"/>
    </xf>
    <xf numFmtId="0" fontId="12" fillId="0" borderId="11" xfId="0" applyFont="1" applyFill="1" applyBorder="1" applyAlignment="1" applyProtection="1">
      <alignment horizontal="justify" vertical="top" wrapText="1"/>
      <protection locked="0"/>
    </xf>
    <xf numFmtId="0" fontId="6" fillId="5" borderId="1" xfId="0" applyFont="1" applyFill="1" applyBorder="1"/>
    <xf numFmtId="9" fontId="6" fillId="0" borderId="1" xfId="0" applyNumberFormat="1" applyFont="1" applyFill="1" applyBorder="1"/>
    <xf numFmtId="9" fontId="6" fillId="7" borderId="1" xfId="0" applyNumberFormat="1" applyFont="1" applyFill="1" applyBorder="1" applyAlignment="1">
      <alignment horizontal="center" vertical="center"/>
    </xf>
    <xf numFmtId="9" fontId="0" fillId="7" borderId="1" xfId="0" applyNumberFormat="1" applyFill="1" applyBorder="1" applyAlignment="1">
      <alignment horizontal="center" vertical="center"/>
    </xf>
    <xf numFmtId="10" fontId="6" fillId="7" borderId="1" xfId="0" applyNumberFormat="1" applyFont="1" applyFill="1" applyBorder="1" applyAlignment="1">
      <alignment horizontal="center" vertical="center"/>
    </xf>
    <xf numFmtId="0" fontId="2" fillId="0" borderId="6" xfId="0" applyFont="1" applyFill="1" applyBorder="1" applyAlignment="1">
      <alignment horizontal="justify" vertical="top"/>
    </xf>
    <xf numFmtId="0" fontId="17" fillId="8" borderId="7" xfId="0" applyFont="1" applyFill="1" applyBorder="1" applyAlignment="1" applyProtection="1">
      <alignment horizontal="justify" vertical="top" wrapText="1"/>
      <protection locked="0"/>
    </xf>
    <xf numFmtId="9" fontId="0" fillId="0" borderId="1" xfId="0" applyNumberFormat="1" applyFill="1" applyBorder="1" applyAlignment="1">
      <alignment horizontal="justify" vertical="top"/>
    </xf>
    <xf numFmtId="0" fontId="2" fillId="7" borderId="1" xfId="0" applyFont="1" applyFill="1" applyBorder="1" applyAlignment="1">
      <alignment horizontal="justify" vertical="top"/>
    </xf>
    <xf numFmtId="0" fontId="10" fillId="18" borderId="3" xfId="0" applyFont="1" applyFill="1" applyBorder="1" applyAlignment="1">
      <alignment wrapText="1"/>
    </xf>
    <xf numFmtId="0" fontId="6" fillId="2" borderId="1" xfId="0" applyFont="1" applyFill="1" applyBorder="1" applyAlignment="1">
      <alignment horizontal="justify"/>
    </xf>
    <xf numFmtId="0" fontId="33" fillId="0" borderId="0" xfId="0" applyFont="1" applyAlignment="1">
      <alignment horizontal="justify" vertical="center"/>
    </xf>
    <xf numFmtId="0" fontId="0" fillId="8" borderId="1" xfId="0" applyFill="1" applyBorder="1" applyAlignment="1">
      <alignment horizontal="justify" vertical="top"/>
    </xf>
    <xf numFmtId="0" fontId="0" fillId="0" borderId="6" xfId="0" applyBorder="1" applyAlignment="1">
      <alignment horizontal="justify" vertical="center"/>
    </xf>
    <xf numFmtId="0" fontId="6" fillId="0" borderId="1" xfId="0" applyNumberFormat="1" applyFont="1" applyFill="1" applyBorder="1" applyAlignment="1">
      <alignment horizontal="justify" vertical="top"/>
    </xf>
    <xf numFmtId="0" fontId="34" fillId="0" borderId="1" xfId="0" applyFont="1" applyFill="1" applyBorder="1" applyAlignment="1">
      <alignment horizontal="justify" vertical="top" wrapText="1"/>
    </xf>
    <xf numFmtId="0" fontId="6" fillId="2" borderId="6" xfId="0" applyFont="1" applyFill="1" applyBorder="1" applyAlignment="1">
      <alignment horizontal="justify" vertical="top"/>
    </xf>
    <xf numFmtId="0" fontId="34" fillId="0" borderId="0" xfId="0" applyFont="1" applyFill="1" applyAlignment="1">
      <alignment horizontal="justify" vertical="top" wrapText="1"/>
    </xf>
    <xf numFmtId="1" fontId="6" fillId="5" borderId="1" xfId="0" applyNumberFormat="1" applyFont="1" applyFill="1" applyBorder="1" applyAlignment="1">
      <alignment horizontal="center" vertical="center"/>
    </xf>
    <xf numFmtId="1" fontId="6" fillId="6" borderId="1" xfId="0" applyNumberFormat="1" applyFont="1" applyFill="1" applyBorder="1" applyAlignment="1">
      <alignment horizontal="center" vertical="center"/>
    </xf>
    <xf numFmtId="1" fontId="6" fillId="4" borderId="1" xfId="0" applyNumberFormat="1" applyFont="1" applyFill="1" applyBorder="1" applyAlignment="1">
      <alignment horizontal="center" vertical="center"/>
    </xf>
    <xf numFmtId="1" fontId="6" fillId="22" borderId="1" xfId="0" applyNumberFormat="1" applyFont="1" applyFill="1" applyBorder="1" applyAlignment="1">
      <alignment horizontal="center" vertical="center"/>
    </xf>
    <xf numFmtId="0" fontId="18" fillId="0" borderId="0" xfId="0" applyFont="1" applyAlignment="1" applyProtection="1">
      <alignment vertical="center" wrapText="1"/>
      <protection locked="0"/>
    </xf>
    <xf numFmtId="9" fontId="0" fillId="0" borderId="1" xfId="0" applyNumberFormat="1" applyFill="1" applyBorder="1" applyAlignment="1">
      <alignment horizontal="center" vertical="center" wrapText="1"/>
    </xf>
    <xf numFmtId="0" fontId="18" fillId="0" borderId="1" xfId="3" applyFont="1" applyFill="1" applyBorder="1" applyAlignment="1" applyProtection="1">
      <alignment horizontal="center" vertical="center" wrapText="1"/>
      <protection locked="0"/>
    </xf>
    <xf numFmtId="0" fontId="6" fillId="0" borderId="1" xfId="0" applyNumberFormat="1" applyFont="1" applyFill="1" applyBorder="1" applyAlignment="1">
      <alignment horizontal="justify" vertical="top" wrapText="1"/>
    </xf>
    <xf numFmtId="0" fontId="18" fillId="0" borderId="2" xfId="0" applyFont="1" applyFill="1" applyBorder="1" applyAlignment="1" applyProtection="1">
      <alignment horizontal="justify" vertical="top"/>
      <protection locked="0"/>
    </xf>
    <xf numFmtId="0" fontId="6" fillId="0" borderId="7" xfId="0" applyFont="1" applyFill="1" applyBorder="1" applyAlignment="1">
      <alignment horizontal="justify" vertical="top" wrapText="1"/>
    </xf>
    <xf numFmtId="0" fontId="12" fillId="21" borderId="1" xfId="0" applyFont="1" applyFill="1" applyBorder="1" applyAlignment="1" applyProtection="1">
      <alignment horizontal="justify" vertical="top" wrapText="1"/>
      <protection locked="0"/>
    </xf>
    <xf numFmtId="0" fontId="12" fillId="0" borderId="1" xfId="0" applyFont="1" applyBorder="1" applyAlignment="1" applyProtection="1">
      <alignment horizontal="justify" vertical="center"/>
      <protection hidden="1"/>
    </xf>
    <xf numFmtId="4" fontId="12" fillId="0" borderId="17" xfId="0" applyNumberFormat="1" applyFont="1" applyFill="1" applyBorder="1" applyAlignment="1" applyProtection="1">
      <alignment horizontal="justify" vertical="top"/>
      <protection locked="0"/>
    </xf>
    <xf numFmtId="0" fontId="0" fillId="0" borderId="4" xfId="0" applyFill="1" applyBorder="1" applyAlignment="1">
      <alignment horizontal="justify" vertical="top"/>
    </xf>
    <xf numFmtId="0" fontId="6" fillId="0" borderId="1" xfId="0" applyFont="1" applyFill="1" applyBorder="1" applyAlignment="1" applyProtection="1">
      <alignment horizontal="center" vertical="top" wrapText="1"/>
      <protection locked="0"/>
    </xf>
    <xf numFmtId="0" fontId="18" fillId="0" borderId="12" xfId="0" applyFont="1" applyBorder="1" applyAlignment="1" applyProtection="1">
      <alignment horizontal="justify" vertical="center" wrapText="1"/>
      <protection locked="0"/>
    </xf>
    <xf numFmtId="0" fontId="27" fillId="0" borderId="1" xfId="0" applyFont="1" applyFill="1" applyBorder="1" applyAlignment="1">
      <alignment horizontal="justify" vertical="top"/>
    </xf>
    <xf numFmtId="0" fontId="18" fillId="0" borderId="9" xfId="0" applyFont="1" applyBorder="1" applyAlignment="1" applyProtection="1">
      <alignment horizontal="justify" vertical="center" wrapText="1"/>
      <protection locked="0"/>
    </xf>
    <xf numFmtId="0" fontId="18" fillId="0" borderId="6" xfId="0" applyNumberFormat="1" applyFont="1" applyBorder="1" applyAlignment="1" applyProtection="1">
      <alignment horizontal="justify" vertical="center" wrapText="1"/>
      <protection locked="0"/>
    </xf>
    <xf numFmtId="0" fontId="18" fillId="0" borderId="4" xfId="0" applyFont="1" applyBorder="1" applyAlignment="1">
      <alignment horizontal="justify" vertical="top" wrapText="1"/>
    </xf>
    <xf numFmtId="0" fontId="0" fillId="0" borderId="4" xfId="0" applyBorder="1"/>
    <xf numFmtId="0" fontId="37" fillId="0" borderId="0" xfId="0" applyFont="1" applyAlignment="1">
      <alignment horizontal="center"/>
    </xf>
    <xf numFmtId="0" fontId="0" fillId="0" borderId="0" xfId="0" applyAlignment="1">
      <alignment horizontal="justify" vertical="top"/>
    </xf>
    <xf numFmtId="0" fontId="10" fillId="27" borderId="1" xfId="0" applyFont="1" applyFill="1" applyBorder="1" applyAlignment="1">
      <alignment horizontal="center"/>
    </xf>
    <xf numFmtId="0" fontId="10" fillId="27" borderId="1" xfId="0" applyFont="1" applyFill="1" applyBorder="1" applyAlignment="1">
      <alignment horizontal="center" wrapText="1"/>
    </xf>
    <xf numFmtId="0" fontId="10" fillId="21" borderId="1" xfId="0" applyFont="1" applyFill="1" applyBorder="1" applyAlignment="1">
      <alignment horizontal="center"/>
    </xf>
    <xf numFmtId="9" fontId="10" fillId="0" borderId="0" xfId="0" applyNumberFormat="1" applyFont="1" applyBorder="1" applyAlignment="1">
      <alignment horizontal="center" vertical="center"/>
    </xf>
    <xf numFmtId="9" fontId="10" fillId="27" borderId="1" xfId="0" applyNumberFormat="1" applyFont="1" applyFill="1" applyBorder="1" applyAlignment="1">
      <alignment horizontal="center" vertical="top"/>
    </xf>
    <xf numFmtId="9" fontId="10" fillId="27" borderId="1" xfId="0" applyNumberFormat="1" applyFont="1" applyFill="1" applyBorder="1" applyAlignment="1">
      <alignment horizontal="center" vertical="center"/>
    </xf>
    <xf numFmtId="9" fontId="0" fillId="0" borderId="0" xfId="0" applyNumberFormat="1"/>
    <xf numFmtId="9" fontId="0" fillId="0" borderId="0" xfId="0" applyNumberFormat="1" applyFill="1" applyBorder="1" applyAlignment="1">
      <alignment horizontal="center" vertical="center"/>
    </xf>
    <xf numFmtId="9" fontId="10" fillId="27" borderId="1" xfId="0" applyNumberFormat="1" applyFont="1" applyFill="1" applyBorder="1" applyAlignment="1">
      <alignment horizontal="center"/>
    </xf>
    <xf numFmtId="9" fontId="0" fillId="21" borderId="1" xfId="0" applyNumberFormat="1" applyFill="1" applyBorder="1"/>
    <xf numFmtId="0" fontId="2" fillId="0" borderId="1" xfId="0" applyFont="1" applyBorder="1" applyAlignment="1">
      <alignment horizontal="center" vertical="center"/>
    </xf>
    <xf numFmtId="9" fontId="6" fillId="25" borderId="1" xfId="0" applyNumberFormat="1" applyFont="1" applyFill="1" applyBorder="1" applyAlignment="1">
      <alignment horizontal="center" vertical="center"/>
    </xf>
    <xf numFmtId="0" fontId="2" fillId="0" borderId="1" xfId="0" applyFont="1" applyBorder="1"/>
    <xf numFmtId="0" fontId="2" fillId="0" borderId="1" xfId="0" applyFont="1" applyBorder="1" applyAlignment="1">
      <alignment horizontal="justify" vertical="top"/>
    </xf>
    <xf numFmtId="9" fontId="6" fillId="25" borderId="1" xfId="0" applyNumberFormat="1" applyFont="1" applyFill="1" applyBorder="1" applyAlignment="1">
      <alignment horizontal="center" vertical="top"/>
    </xf>
    <xf numFmtId="0" fontId="10" fillId="0" borderId="1" xfId="0" applyFont="1" applyBorder="1" applyAlignment="1">
      <alignment horizontal="justify" vertical="top"/>
    </xf>
    <xf numFmtId="0" fontId="0" fillId="21" borderId="1" xfId="0" applyFill="1" applyBorder="1" applyAlignment="1"/>
    <xf numFmtId="9" fontId="10" fillId="27" borderId="1" xfId="0" applyNumberFormat="1" applyFont="1" applyFill="1" applyBorder="1"/>
    <xf numFmtId="10" fontId="10" fillId="27" borderId="1" xfId="0" applyNumberFormat="1" applyFont="1" applyFill="1" applyBorder="1" applyAlignment="1">
      <alignment horizontal="center" vertical="center"/>
    </xf>
    <xf numFmtId="9" fontId="0" fillId="28" borderId="1" xfId="0" applyNumberFormat="1" applyFill="1" applyBorder="1" applyAlignment="1">
      <alignment horizontal="center" vertical="center"/>
    </xf>
    <xf numFmtId="9" fontId="2" fillId="0" borderId="1" xfId="0" applyNumberFormat="1" applyFont="1" applyBorder="1" applyAlignment="1">
      <alignment horizontal="center" vertical="center"/>
    </xf>
    <xf numFmtId="9" fontId="2" fillId="25" borderId="1" xfId="0" applyNumberFormat="1" applyFont="1" applyFill="1" applyBorder="1" applyAlignment="1">
      <alignment horizontal="center" vertical="center"/>
    </xf>
    <xf numFmtId="0" fontId="0" fillId="0" borderId="0" xfId="0" applyBorder="1" applyAlignment="1"/>
    <xf numFmtId="49" fontId="0" fillId="0" borderId="1" xfId="0" applyNumberFormat="1" applyBorder="1" applyAlignment="1">
      <alignment horizontal="justify" vertical="top" wrapText="1"/>
    </xf>
    <xf numFmtId="0" fontId="10" fillId="0" borderId="0" xfId="0" applyFont="1" applyBorder="1" applyAlignment="1">
      <alignment horizontal="center" vertical="top"/>
    </xf>
    <xf numFmtId="0" fontId="0" fillId="0" borderId="0" xfId="0" applyFill="1" applyBorder="1"/>
    <xf numFmtId="9" fontId="0" fillId="15" borderId="1" xfId="0" applyNumberFormat="1" applyFill="1" applyBorder="1" applyAlignment="1">
      <alignment horizontal="center" vertical="center"/>
    </xf>
    <xf numFmtId="0" fontId="0" fillId="0" borderId="1" xfId="0" applyFont="1" applyBorder="1" applyAlignment="1">
      <alignment horizontal="center"/>
    </xf>
    <xf numFmtId="9" fontId="0" fillId="0" borderId="1" xfId="0" applyNumberFormat="1" applyBorder="1" applyAlignment="1">
      <alignment horizontal="center"/>
    </xf>
    <xf numFmtId="9" fontId="0" fillId="15" borderId="1" xfId="0" applyNumberFormat="1" applyFill="1" applyBorder="1" applyAlignment="1">
      <alignment horizontal="center"/>
    </xf>
    <xf numFmtId="0" fontId="0" fillId="0" borderId="1" xfId="0" applyBorder="1" applyAlignment="1">
      <alignment horizontal="center"/>
    </xf>
    <xf numFmtId="0" fontId="0" fillId="15" borderId="1" xfId="0" applyFill="1" applyBorder="1"/>
    <xf numFmtId="0" fontId="0" fillId="0" borderId="1" xfId="0" applyBorder="1" applyAlignment="1"/>
    <xf numFmtId="0" fontId="2" fillId="0" borderId="1" xfId="0" applyFont="1" applyBorder="1" applyAlignment="1"/>
    <xf numFmtId="9" fontId="38" fillId="27" borderId="1" xfId="0" applyNumberFormat="1" applyFont="1" applyFill="1" applyBorder="1" applyAlignment="1">
      <alignment horizontal="center"/>
    </xf>
    <xf numFmtId="9" fontId="38" fillId="27" borderId="0" xfId="0" applyNumberFormat="1" applyFont="1" applyFill="1" applyBorder="1" applyAlignment="1">
      <alignment horizontal="center"/>
    </xf>
    <xf numFmtId="9" fontId="2" fillId="0" borderId="0" xfId="0" applyNumberFormat="1" applyFont="1" applyBorder="1" applyAlignment="1">
      <alignment horizontal="center"/>
    </xf>
    <xf numFmtId="9" fontId="0" fillId="0" borderId="0" xfId="0" applyNumberFormat="1" applyFill="1"/>
    <xf numFmtId="0" fontId="0" fillId="0" borderId="0" xfId="0" applyAlignment="1"/>
    <xf numFmtId="9" fontId="10" fillId="27" borderId="0" xfId="0" applyNumberFormat="1" applyFont="1" applyFill="1" applyBorder="1" applyAlignment="1">
      <alignment horizontal="center" vertical="center"/>
    </xf>
    <xf numFmtId="0" fontId="37" fillId="0" borderId="0" xfId="0" applyFont="1" applyBorder="1"/>
    <xf numFmtId="9" fontId="0" fillId="25" borderId="1" xfId="0" applyNumberFormat="1" applyFill="1" applyBorder="1" applyAlignment="1">
      <alignment horizontal="center" vertical="center"/>
    </xf>
    <xf numFmtId="0" fontId="10" fillId="0" borderId="0" xfId="0" applyFont="1" applyFill="1" applyBorder="1" applyAlignment="1">
      <alignment horizontal="center" vertical="top"/>
    </xf>
    <xf numFmtId="9" fontId="0" fillId="27" borderId="7" xfId="0" applyNumberFormat="1" applyFill="1" applyBorder="1" applyAlignment="1">
      <alignment horizontal="center" vertical="center"/>
    </xf>
    <xf numFmtId="0" fontId="0" fillId="0" borderId="0" xfId="0" applyFill="1" applyAlignment="1">
      <alignment horizontal="justify" vertical="top"/>
    </xf>
    <xf numFmtId="0" fontId="0" fillId="0" borderId="0" xfId="0" applyFill="1" applyAlignment="1"/>
    <xf numFmtId="0" fontId="37" fillId="0" borderId="0" xfId="0" applyFont="1" applyFill="1" applyAlignment="1">
      <alignment horizontal="center"/>
    </xf>
    <xf numFmtId="0" fontId="0" fillId="15" borderId="0" xfId="0" applyFill="1"/>
    <xf numFmtId="0" fontId="0" fillId="10" borderId="1" xfId="0" applyFill="1" applyBorder="1" applyAlignment="1">
      <alignment vertical="center"/>
    </xf>
    <xf numFmtId="0" fontId="0" fillId="11" borderId="1" xfId="0" applyFill="1" applyBorder="1" applyAlignment="1">
      <alignment vertical="center"/>
    </xf>
    <xf numFmtId="0" fontId="0" fillId="12" borderId="1" xfId="0" applyFill="1" applyBorder="1" applyAlignment="1">
      <alignment vertical="center"/>
    </xf>
    <xf numFmtId="0" fontId="0" fillId="12" borderId="2" xfId="0" applyFill="1" applyBorder="1" applyAlignment="1">
      <alignment vertical="center"/>
    </xf>
    <xf numFmtId="0" fontId="0" fillId="12" borderId="3" xfId="0" applyFill="1" applyBorder="1" applyAlignment="1">
      <alignment vertical="center"/>
    </xf>
    <xf numFmtId="0" fontId="0" fillId="12" borderId="4" xfId="0" applyFill="1" applyBorder="1" applyAlignment="1">
      <alignment vertical="center"/>
    </xf>
    <xf numFmtId="0" fontId="33" fillId="0" borderId="1" xfId="0" applyFont="1" applyBorder="1" applyAlignment="1">
      <alignment horizontal="justify" vertical="center"/>
    </xf>
    <xf numFmtId="0" fontId="8" fillId="0" borderId="6" xfId="0" applyFont="1" applyFill="1" applyBorder="1" applyAlignment="1">
      <alignment horizontal="justify" vertical="top"/>
    </xf>
    <xf numFmtId="0" fontId="0" fillId="0" borderId="8" xfId="0" applyBorder="1" applyAlignment="1">
      <alignment horizontal="justify" vertical="top"/>
    </xf>
    <xf numFmtId="0" fontId="0" fillId="0" borderId="7" xfId="0" applyBorder="1" applyAlignment="1">
      <alignment horizontal="justify" vertical="top"/>
    </xf>
    <xf numFmtId="0" fontId="6" fillId="0" borderId="6" xfId="0" applyFont="1" applyFill="1" applyBorder="1" applyAlignment="1">
      <alignment horizontal="justify" vertical="top"/>
    </xf>
    <xf numFmtId="0" fontId="6" fillId="0" borderId="8" xfId="0" applyFont="1" applyFill="1" applyBorder="1" applyAlignment="1">
      <alignment horizontal="justify" vertical="top"/>
    </xf>
    <xf numFmtId="0" fontId="6" fillId="0" borderId="7" xfId="0" applyFont="1" applyFill="1" applyBorder="1" applyAlignment="1">
      <alignment horizontal="justify" vertical="top"/>
    </xf>
    <xf numFmtId="17" fontId="12" fillId="0" borderId="6" xfId="0" applyNumberFormat="1" applyFont="1" applyFill="1" applyBorder="1" applyAlignment="1">
      <alignment horizontal="center" vertical="center"/>
    </xf>
    <xf numFmtId="0" fontId="0" fillId="0" borderId="8" xfId="0" applyBorder="1" applyAlignment="1"/>
    <xf numFmtId="0" fontId="0" fillId="0" borderId="7" xfId="0" applyBorder="1" applyAlignment="1"/>
    <xf numFmtId="0" fontId="0" fillId="0" borderId="8" xfId="0" applyBorder="1" applyAlignment="1">
      <alignment vertical="top"/>
    </xf>
    <xf numFmtId="0" fontId="0" fillId="0" borderId="7" xfId="0" applyBorder="1" applyAlignment="1">
      <alignment vertical="top"/>
    </xf>
    <xf numFmtId="0" fontId="0" fillId="0" borderId="6" xfId="0" applyBorder="1" applyAlignment="1">
      <alignment horizontal="justify" vertical="top"/>
    </xf>
    <xf numFmtId="0" fontId="6" fillId="2" borderId="6"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7" xfId="0" applyFont="1" applyFill="1" applyBorder="1" applyAlignment="1">
      <alignment horizontal="center" vertical="top" wrapText="1"/>
    </xf>
    <xf numFmtId="0" fontId="0" fillId="0" borderId="6" xfId="0" applyBorder="1" applyAlignment="1">
      <alignment horizontal="center" vertical="top" wrapText="1"/>
    </xf>
    <xf numFmtId="0" fontId="0" fillId="0" borderId="8" xfId="0" applyBorder="1" applyAlignment="1">
      <alignment horizontal="center" vertical="top" wrapText="1"/>
    </xf>
    <xf numFmtId="0" fontId="0" fillId="0" borderId="7" xfId="0" applyBorder="1" applyAlignment="1">
      <alignment horizontal="center" vertical="top" wrapText="1"/>
    </xf>
    <xf numFmtId="0" fontId="8" fillId="0" borderId="8" xfId="0" applyFont="1" applyFill="1" applyBorder="1" applyAlignment="1">
      <alignment horizontal="justify" vertical="top"/>
    </xf>
    <xf numFmtId="0" fontId="8" fillId="0" borderId="7" xfId="0" applyFont="1" applyFill="1" applyBorder="1" applyAlignment="1">
      <alignment horizontal="justify" vertical="top"/>
    </xf>
    <xf numFmtId="0" fontId="10" fillId="21" borderId="6" xfId="0" applyFont="1" applyFill="1" applyBorder="1" applyAlignment="1">
      <alignment horizontal="justify" vertical="center"/>
    </xf>
    <xf numFmtId="0" fontId="10" fillId="21" borderId="7" xfId="0" applyFont="1" applyFill="1" applyBorder="1" applyAlignment="1">
      <alignment horizontal="justify" vertical="center"/>
    </xf>
    <xf numFmtId="0" fontId="8" fillId="0" borderId="1" xfId="0" applyFont="1" applyFill="1" applyBorder="1" applyAlignment="1">
      <alignment horizontal="justify" vertical="top"/>
    </xf>
    <xf numFmtId="0" fontId="0" fillId="0" borderId="1" xfId="0" applyBorder="1" applyAlignment="1">
      <alignment horizontal="justify" vertical="top"/>
    </xf>
    <xf numFmtId="0" fontId="8" fillId="0" borderId="8" xfId="0" applyFont="1" applyFill="1" applyBorder="1" applyAlignment="1">
      <alignment horizontal="center" vertical="top"/>
    </xf>
    <xf numFmtId="0" fontId="8" fillId="0" borderId="7" xfId="0" applyFont="1" applyFill="1" applyBorder="1" applyAlignment="1">
      <alignment horizontal="center" vertical="top"/>
    </xf>
    <xf numFmtId="0" fontId="10" fillId="20" borderId="6" xfId="0" applyFont="1" applyFill="1" applyBorder="1" applyAlignment="1">
      <alignment horizontal="justify" vertical="center"/>
    </xf>
    <xf numFmtId="0" fontId="0" fillId="20" borderId="7" xfId="0" applyFill="1" applyBorder="1" applyAlignment="1">
      <alignment horizontal="justify" vertical="center"/>
    </xf>
    <xf numFmtId="0" fontId="10" fillId="9" borderId="6" xfId="0" applyFont="1" applyFill="1" applyBorder="1" applyAlignment="1">
      <alignment horizontal="justify" vertical="center"/>
    </xf>
    <xf numFmtId="0" fontId="10" fillId="9" borderId="7" xfId="0" applyFont="1" applyFill="1" applyBorder="1" applyAlignment="1">
      <alignment horizontal="justify"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0" fillId="10" borderId="6" xfId="0" applyFont="1" applyFill="1" applyBorder="1" applyAlignment="1">
      <alignment horizontal="justify" vertical="center"/>
    </xf>
    <xf numFmtId="0" fontId="0" fillId="0" borderId="7" xfId="0" applyBorder="1" applyAlignment="1">
      <alignment horizontal="justify" vertical="center"/>
    </xf>
    <xf numFmtId="0" fontId="10" fillId="2" borderId="6" xfId="0" applyFont="1" applyFill="1" applyBorder="1" applyAlignment="1">
      <alignment horizontal="justify" vertical="center"/>
    </xf>
    <xf numFmtId="0" fontId="10" fillId="2" borderId="7" xfId="0" applyFont="1" applyFill="1" applyBorder="1" applyAlignment="1">
      <alignment horizontal="justify" vertical="center"/>
    </xf>
    <xf numFmtId="0" fontId="10" fillId="19" borderId="1" xfId="0" applyFont="1" applyFill="1" applyBorder="1" applyAlignment="1">
      <alignment horizontal="center" vertical="center"/>
    </xf>
    <xf numFmtId="0" fontId="0" fillId="19" borderId="6" xfId="0" applyFill="1" applyBorder="1" applyAlignment="1">
      <alignment horizontal="center" vertical="center"/>
    </xf>
    <xf numFmtId="0" fontId="10" fillId="19" borderId="1" xfId="0" applyFont="1" applyFill="1" applyBorder="1" applyAlignment="1">
      <alignment horizontal="justify" vertical="top"/>
    </xf>
    <xf numFmtId="0" fontId="0" fillId="19" borderId="6" xfId="0" applyFill="1" applyBorder="1" applyAlignment="1">
      <alignment horizontal="justify" vertical="top"/>
    </xf>
    <xf numFmtId="0" fontId="3" fillId="17" borderId="2" xfId="0" applyFont="1" applyFill="1" applyBorder="1" applyAlignment="1">
      <alignment horizontal="center" vertical="center"/>
    </xf>
    <xf numFmtId="0" fontId="3" fillId="17" borderId="3" xfId="0" applyFont="1" applyFill="1" applyBorder="1" applyAlignment="1">
      <alignment horizontal="center" vertical="center"/>
    </xf>
    <xf numFmtId="0" fontId="3" fillId="17" borderId="4" xfId="0" applyFont="1" applyFill="1" applyBorder="1" applyAlignment="1">
      <alignment horizontal="center" vertical="center"/>
    </xf>
    <xf numFmtId="0" fontId="9" fillId="11" borderId="1" xfId="0" applyFont="1" applyFill="1" applyBorder="1" applyAlignment="1">
      <alignment horizontal="center" vertical="center"/>
    </xf>
    <xf numFmtId="0" fontId="6" fillId="11" borderId="6" xfId="0" applyFont="1" applyFill="1" applyBorder="1" applyAlignment="1">
      <alignment horizontal="center" vertical="center"/>
    </xf>
    <xf numFmtId="0" fontId="9" fillId="11" borderId="6" xfId="0" applyFont="1" applyFill="1" applyBorder="1" applyAlignment="1">
      <alignment horizontal="center" vertical="center"/>
    </xf>
    <xf numFmtId="0" fontId="10" fillId="18" borderId="1" xfId="0" applyFont="1" applyFill="1" applyBorder="1" applyAlignment="1">
      <alignment horizontal="center" vertical="center"/>
    </xf>
    <xf numFmtId="0" fontId="10" fillId="18" borderId="6" xfId="0" applyFont="1" applyFill="1" applyBorder="1" applyAlignment="1">
      <alignment horizontal="center" vertical="center"/>
    </xf>
    <xf numFmtId="0" fontId="8" fillId="13" borderId="0" xfId="0" applyFont="1" applyFill="1" applyBorder="1" applyAlignment="1">
      <alignment horizontal="center" vertical="center"/>
    </xf>
    <xf numFmtId="0" fontId="8" fillId="13" borderId="5" xfId="0" applyFont="1" applyFill="1" applyBorder="1" applyAlignment="1">
      <alignment horizontal="center" vertical="center"/>
    </xf>
    <xf numFmtId="0" fontId="3" fillId="14" borderId="1" xfId="0" applyFont="1" applyFill="1" applyBorder="1" applyAlignment="1">
      <alignment horizontal="center" vertical="center"/>
    </xf>
    <xf numFmtId="0" fontId="3" fillId="14" borderId="2" xfId="0" applyFont="1" applyFill="1" applyBorder="1" applyAlignment="1">
      <alignment horizontal="center" vertical="center"/>
    </xf>
    <xf numFmtId="0" fontId="3" fillId="14" borderId="3" xfId="0" applyFont="1" applyFill="1" applyBorder="1" applyAlignment="1">
      <alignment horizontal="center" vertical="center"/>
    </xf>
    <xf numFmtId="0" fontId="3" fillId="14" borderId="4" xfId="0" applyFont="1" applyFill="1" applyBorder="1" applyAlignment="1">
      <alignment horizontal="center" vertical="center"/>
    </xf>
    <xf numFmtId="0" fontId="3" fillId="15" borderId="2" xfId="0" applyFont="1" applyFill="1" applyBorder="1" applyAlignment="1">
      <alignment horizontal="center" vertical="center"/>
    </xf>
    <xf numFmtId="0" fontId="3" fillId="15" borderId="3" xfId="0" applyFont="1" applyFill="1" applyBorder="1" applyAlignment="1">
      <alignment horizontal="center" vertical="center"/>
    </xf>
    <xf numFmtId="0" fontId="3" fillId="15" borderId="4"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3" fillId="16" borderId="2" xfId="0" applyFont="1" applyFill="1" applyBorder="1" applyAlignment="1">
      <alignment horizontal="center" vertical="center"/>
    </xf>
    <xf numFmtId="0" fontId="3" fillId="16" borderId="3" xfId="0" applyFont="1" applyFill="1" applyBorder="1" applyAlignment="1">
      <alignment horizontal="center" vertical="center"/>
    </xf>
    <xf numFmtId="0" fontId="3" fillId="16" borderId="4" xfId="0" applyFont="1" applyFill="1" applyBorder="1" applyAlignment="1">
      <alignment horizontal="center" vertical="center"/>
    </xf>
    <xf numFmtId="0" fontId="0" fillId="10" borderId="2" xfId="0" applyFill="1" applyBorder="1" applyAlignment="1">
      <alignment horizontal="center" vertical="center"/>
    </xf>
    <xf numFmtId="0" fontId="0" fillId="10" borderId="3" xfId="0" applyFill="1" applyBorder="1" applyAlignment="1">
      <alignment horizontal="center" vertical="center"/>
    </xf>
    <xf numFmtId="0" fontId="0" fillId="10" borderId="4" xfId="0" applyFill="1" applyBorder="1" applyAlignment="1">
      <alignment horizontal="center" vertical="center"/>
    </xf>
    <xf numFmtId="0" fontId="0" fillId="11" borderId="2" xfId="0" applyFill="1" applyBorder="1" applyAlignment="1">
      <alignment horizontal="center" vertical="center"/>
    </xf>
    <xf numFmtId="0" fontId="0" fillId="11" borderId="3" xfId="0" applyFill="1" applyBorder="1" applyAlignment="1">
      <alignment horizontal="center" vertical="center"/>
    </xf>
    <xf numFmtId="0" fontId="0" fillId="11" borderId="4" xfId="0" applyFill="1" applyBorder="1" applyAlignment="1">
      <alignment horizontal="center" vertical="center"/>
    </xf>
    <xf numFmtId="0" fontId="0" fillId="11" borderId="1" xfId="0" applyFill="1" applyBorder="1" applyAlignment="1">
      <alignment horizontal="center" vertical="center"/>
    </xf>
    <xf numFmtId="0" fontId="0" fillId="12" borderId="2" xfId="0" applyFill="1" applyBorder="1" applyAlignment="1">
      <alignment horizontal="center" vertical="center"/>
    </xf>
    <xf numFmtId="0" fontId="0" fillId="12" borderId="3" xfId="0" applyFill="1" applyBorder="1" applyAlignment="1">
      <alignment horizontal="center" vertical="center"/>
    </xf>
    <xf numFmtId="0" fontId="0" fillId="12" borderId="4" xfId="0" applyFill="1" applyBorder="1" applyAlignment="1">
      <alignment horizontal="center" vertical="center"/>
    </xf>
    <xf numFmtId="0" fontId="6" fillId="0" borderId="1" xfId="0" applyFont="1" applyFill="1" applyBorder="1" applyAlignment="1">
      <alignment horizontal="justify" vertical="top"/>
    </xf>
    <xf numFmtId="0" fontId="0" fillId="9" borderId="7" xfId="0" applyFill="1" applyBorder="1" applyAlignment="1">
      <alignment horizontal="justify" vertical="center"/>
    </xf>
    <xf numFmtId="0" fontId="10" fillId="2" borderId="6" xfId="0" applyFont="1" applyFill="1" applyBorder="1" applyAlignment="1">
      <alignment horizontal="justify" vertical="center" wrapText="1"/>
    </xf>
    <xf numFmtId="0" fontId="0" fillId="0" borderId="7" xfId="0" applyBorder="1" applyAlignment="1">
      <alignment horizontal="justify" vertical="center" wrapText="1"/>
    </xf>
    <xf numFmtId="0" fontId="10" fillId="18" borderId="1" xfId="0" applyFont="1" applyFill="1" applyBorder="1" applyAlignment="1">
      <alignment horizontal="justify" vertical="top"/>
    </xf>
    <xf numFmtId="0" fontId="10" fillId="18" borderId="6" xfId="0" applyFont="1" applyFill="1" applyBorder="1" applyAlignment="1">
      <alignment horizontal="justify" vertical="top"/>
    </xf>
    <xf numFmtId="0" fontId="10" fillId="18" borderId="7" xfId="0" applyFont="1" applyFill="1" applyBorder="1" applyAlignment="1">
      <alignment horizontal="justify" vertical="top"/>
    </xf>
    <xf numFmtId="0" fontId="6" fillId="11" borderId="7" xfId="0" applyFont="1" applyFill="1" applyBorder="1" applyAlignment="1">
      <alignment horizontal="center" vertical="center"/>
    </xf>
    <xf numFmtId="0" fontId="10" fillId="11" borderId="6" xfId="0" applyFont="1" applyFill="1" applyBorder="1" applyAlignment="1">
      <alignment horizontal="center" vertical="center"/>
    </xf>
    <xf numFmtId="0" fontId="0" fillId="11" borderId="7" xfId="0" applyFill="1" applyBorder="1" applyAlignment="1">
      <alignment horizontal="center" vertical="center"/>
    </xf>
    <xf numFmtId="0" fontId="10" fillId="11" borderId="2" xfId="0" applyFont="1" applyFill="1" applyBorder="1" applyAlignment="1">
      <alignment horizontal="center" vertical="center"/>
    </xf>
    <xf numFmtId="0" fontId="10" fillId="11" borderId="4" xfId="0" applyFont="1" applyFill="1" applyBorder="1" applyAlignment="1">
      <alignment horizontal="center" vertical="center"/>
    </xf>
    <xf numFmtId="0" fontId="10" fillId="18" borderId="6" xfId="0" applyFont="1" applyFill="1" applyBorder="1" applyAlignment="1">
      <alignment horizontal="center" vertical="center" wrapText="1"/>
    </xf>
    <xf numFmtId="0" fontId="10" fillId="18" borderId="7" xfId="0" applyFont="1" applyFill="1" applyBorder="1" applyAlignment="1">
      <alignment horizontal="center" vertical="center" wrapText="1"/>
    </xf>
    <xf numFmtId="0" fontId="0" fillId="12" borderId="1" xfId="0" applyFill="1" applyBorder="1" applyAlignment="1">
      <alignment horizontal="center" vertical="center"/>
    </xf>
    <xf numFmtId="0" fontId="3" fillId="13" borderId="1" xfId="0" applyFont="1" applyFill="1" applyBorder="1" applyAlignment="1">
      <alignment horizontal="center" vertical="center"/>
    </xf>
    <xf numFmtId="0" fontId="0" fillId="10" borderId="1" xfId="0" applyFill="1" applyBorder="1" applyAlignment="1">
      <alignment horizontal="center" vertical="center"/>
    </xf>
    <xf numFmtId="0" fontId="6" fillId="0" borderId="7" xfId="0" applyFont="1" applyFill="1" applyBorder="1" applyAlignment="1"/>
    <xf numFmtId="0" fontId="2" fillId="0" borderId="6" xfId="0" applyFont="1" applyFill="1" applyBorder="1" applyAlignment="1">
      <alignment horizontal="justify" vertical="top"/>
    </xf>
    <xf numFmtId="0" fontId="2" fillId="0" borderId="8" xfId="0" applyFont="1" applyFill="1" applyBorder="1" applyAlignment="1">
      <alignment horizontal="justify" vertical="top"/>
    </xf>
    <xf numFmtId="0" fontId="2" fillId="0" borderId="7" xfId="0" applyFont="1" applyFill="1" applyBorder="1" applyAlignment="1">
      <alignment horizontal="justify" vertical="top"/>
    </xf>
    <xf numFmtId="0" fontId="6" fillId="0" borderId="1" xfId="0" applyFont="1" applyFill="1" applyBorder="1" applyAlignment="1"/>
    <xf numFmtId="0" fontId="2" fillId="0" borderId="1" xfId="0" applyFont="1" applyFill="1" applyBorder="1" applyAlignment="1">
      <alignment horizontal="justify" vertical="top"/>
    </xf>
    <xf numFmtId="0" fontId="2" fillId="0" borderId="1" xfId="0" applyFont="1" applyFill="1" applyBorder="1" applyAlignment="1"/>
    <xf numFmtId="0" fontId="6" fillId="0" borderId="6" xfId="0" applyFont="1" applyFill="1" applyBorder="1" applyAlignment="1">
      <alignment horizontal="justify" wrapText="1"/>
    </xf>
    <xf numFmtId="0" fontId="6" fillId="0" borderId="7" xfId="0" applyFont="1" applyFill="1" applyBorder="1" applyAlignment="1">
      <alignment horizontal="justify" wrapText="1"/>
    </xf>
    <xf numFmtId="0" fontId="6" fillId="0" borderId="6" xfId="0" applyFont="1" applyFill="1" applyBorder="1" applyAlignment="1">
      <alignment wrapText="1"/>
    </xf>
    <xf numFmtId="0" fontId="6" fillId="0" borderId="7" xfId="0" applyFont="1" applyFill="1" applyBorder="1" applyAlignment="1">
      <alignment wrapText="1"/>
    </xf>
    <xf numFmtId="0" fontId="6" fillId="0" borderId="6" xfId="0" applyFont="1" applyFill="1" applyBorder="1" applyAlignment="1">
      <alignment vertical="center" wrapText="1"/>
    </xf>
    <xf numFmtId="0" fontId="6" fillId="0" borderId="7" xfId="0" applyFont="1" applyFill="1" applyBorder="1" applyAlignment="1">
      <alignment vertical="center"/>
    </xf>
    <xf numFmtId="0" fontId="6" fillId="0" borderId="6" xfId="0" applyFont="1" applyFill="1" applyBorder="1" applyAlignment="1">
      <alignment horizontal="justify" vertical="center"/>
    </xf>
    <xf numFmtId="0" fontId="6" fillId="0" borderId="8" xfId="0" applyFont="1" applyFill="1" applyBorder="1" applyAlignment="1">
      <alignment horizontal="justify" vertical="center"/>
    </xf>
    <xf numFmtId="0" fontId="6" fillId="0" borderId="7" xfId="0" applyFont="1" applyFill="1" applyBorder="1" applyAlignment="1">
      <alignment horizontal="justify" vertical="center"/>
    </xf>
    <xf numFmtId="0" fontId="2" fillId="0" borderId="6" xfId="0" applyFont="1" applyFill="1" applyBorder="1" applyAlignment="1">
      <alignment horizontal="justify" vertical="top" wrapText="1"/>
    </xf>
    <xf numFmtId="0" fontId="3" fillId="0" borderId="6" xfId="0" applyFont="1" applyFill="1" applyBorder="1" applyAlignment="1">
      <alignment horizontal="justify" vertical="top"/>
    </xf>
    <xf numFmtId="0" fontId="3" fillId="0" borderId="8" xfId="0" applyFont="1" applyFill="1" applyBorder="1" applyAlignment="1">
      <alignment horizontal="justify" vertical="top"/>
    </xf>
    <xf numFmtId="0" fontId="3" fillId="0" borderId="7" xfId="0" applyFont="1" applyFill="1" applyBorder="1" applyAlignment="1">
      <alignment horizontal="justify" vertical="top"/>
    </xf>
    <xf numFmtId="0" fontId="0" fillId="0" borderId="6" xfId="0" applyFill="1" applyBorder="1" applyAlignment="1">
      <alignment horizontal="justify" vertical="top"/>
    </xf>
    <xf numFmtId="0" fontId="0" fillId="0" borderId="8" xfId="0" applyFill="1" applyBorder="1" applyAlignment="1">
      <alignment horizontal="justify" vertical="top"/>
    </xf>
    <xf numFmtId="0" fontId="0" fillId="0" borderId="7" xfId="0" applyFill="1" applyBorder="1" applyAlignment="1">
      <alignment horizontal="justify" vertical="top"/>
    </xf>
    <xf numFmtId="0" fontId="0" fillId="2" borderId="6" xfId="0" applyFill="1" applyBorder="1" applyAlignment="1">
      <alignment horizontal="justify" vertical="top"/>
    </xf>
    <xf numFmtId="0" fontId="0" fillId="0" borderId="7" xfId="0" applyBorder="1" applyAlignment="1">
      <alignment horizontal="justify"/>
    </xf>
    <xf numFmtId="0" fontId="0" fillId="0" borderId="7" xfId="0" applyFill="1" applyBorder="1" applyAlignment="1"/>
    <xf numFmtId="0" fontId="10" fillId="21" borderId="6" xfId="0" applyFont="1" applyFill="1" applyBorder="1" applyAlignment="1">
      <alignment horizontal="center" vertical="center" wrapText="1"/>
    </xf>
    <xf numFmtId="0" fontId="10" fillId="21" borderId="8" xfId="0" applyFont="1" applyFill="1" applyBorder="1" applyAlignment="1">
      <alignment horizontal="center" vertical="center" wrapText="1"/>
    </xf>
    <xf numFmtId="0" fontId="10" fillId="21" borderId="14" xfId="0" applyFont="1" applyFill="1" applyBorder="1" applyAlignment="1">
      <alignment horizontal="center" vertical="center" wrapText="1"/>
    </xf>
    <xf numFmtId="0" fontId="10" fillId="21" borderId="15" xfId="0" applyFont="1" applyFill="1" applyBorder="1" applyAlignment="1">
      <alignment horizontal="center" vertical="center" wrapText="1"/>
    </xf>
    <xf numFmtId="0" fontId="12" fillId="0" borderId="6" xfId="0" applyFont="1" applyFill="1" applyBorder="1" applyAlignment="1" applyProtection="1">
      <alignment horizontal="justify" vertical="top" wrapText="1"/>
      <protection locked="0"/>
    </xf>
    <xf numFmtId="0" fontId="0" fillId="0" borderId="6" xfId="0" applyFill="1" applyBorder="1" applyAlignment="1">
      <alignment vertical="top" wrapText="1"/>
    </xf>
    <xf numFmtId="0" fontId="10" fillId="10" borderId="7" xfId="0" applyFont="1" applyFill="1" applyBorder="1" applyAlignment="1">
      <alignment horizontal="justify" vertical="center"/>
    </xf>
    <xf numFmtId="0" fontId="10" fillId="18" borderId="7" xfId="0" applyFont="1" applyFill="1" applyBorder="1" applyAlignment="1">
      <alignment horizontal="center" vertical="center"/>
    </xf>
    <xf numFmtId="0" fontId="9" fillId="11" borderId="7" xfId="0" applyFont="1" applyFill="1" applyBorder="1" applyAlignment="1">
      <alignment horizontal="center" vertical="center"/>
    </xf>
    <xf numFmtId="0" fontId="10" fillId="11" borderId="7" xfId="0" applyFont="1" applyFill="1" applyBorder="1" applyAlignment="1">
      <alignment horizontal="center" vertical="center"/>
    </xf>
    <xf numFmtId="0" fontId="6" fillId="0" borderId="8" xfId="0" applyFont="1" applyFill="1" applyBorder="1" applyAlignment="1"/>
    <xf numFmtId="0" fontId="4" fillId="0" borderId="0" xfId="0" applyFont="1" applyAlignment="1">
      <alignment horizontal="center"/>
    </xf>
    <xf numFmtId="49" fontId="6" fillId="0" borderId="1" xfId="0" applyNumberFormat="1" applyFont="1" applyFill="1" applyBorder="1" applyAlignment="1">
      <alignment vertical="top" wrapText="1"/>
    </xf>
    <xf numFmtId="0" fontId="6" fillId="0" borderId="6" xfId="0" applyFont="1" applyFill="1" applyBorder="1" applyAlignment="1"/>
    <xf numFmtId="0" fontId="10" fillId="18" borderId="2" xfId="0" applyFont="1" applyFill="1" applyBorder="1" applyAlignment="1">
      <alignment horizontal="center" wrapText="1"/>
    </xf>
    <xf numFmtId="0" fontId="10" fillId="18" borderId="3" xfId="0" applyFont="1" applyFill="1" applyBorder="1" applyAlignment="1">
      <alignment horizontal="center" wrapText="1"/>
    </xf>
    <xf numFmtId="0" fontId="10" fillId="18" borderId="4" xfId="0" applyFont="1" applyFill="1" applyBorder="1" applyAlignment="1">
      <alignment horizontal="center" wrapText="1"/>
    </xf>
    <xf numFmtId="0" fontId="2" fillId="2" borderId="6"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7" xfId="0" applyFont="1" applyFill="1" applyBorder="1" applyAlignment="1">
      <alignment horizontal="center" vertical="top" wrapText="1"/>
    </xf>
    <xf numFmtId="0" fontId="6" fillId="0" borderId="6" xfId="0" applyFont="1" applyFill="1" applyBorder="1" applyAlignment="1">
      <alignment horizontal="justify" vertical="top" wrapText="1"/>
    </xf>
    <xf numFmtId="0" fontId="34" fillId="0" borderId="6" xfId="0" applyFont="1" applyFill="1" applyBorder="1" applyAlignment="1">
      <alignment horizontal="justify" vertical="top" wrapText="1"/>
    </xf>
    <xf numFmtId="9" fontId="0" fillId="0" borderId="6" xfId="0" applyNumberFormat="1" applyBorder="1" applyAlignment="1">
      <alignment horizontal="center" vertical="center"/>
    </xf>
    <xf numFmtId="0" fontId="2" fillId="0" borderId="8" xfId="0" applyFont="1" applyBorder="1" applyAlignment="1"/>
    <xf numFmtId="0" fontId="2" fillId="0" borderId="7" xfId="0" applyFont="1" applyBorder="1" applyAlignment="1"/>
    <xf numFmtId="0" fontId="0" fillId="10" borderId="7" xfId="0" applyFill="1" applyBorder="1" applyAlignment="1">
      <alignment horizontal="center" vertical="center"/>
    </xf>
    <xf numFmtId="1" fontId="0" fillId="0" borderId="15" xfId="0" applyNumberFormat="1" applyFill="1" applyBorder="1" applyAlignment="1">
      <alignment horizontal="center" vertical="center"/>
    </xf>
    <xf numFmtId="1" fontId="0" fillId="0" borderId="0" xfId="0" applyNumberFormat="1" applyFill="1" applyBorder="1" applyAlignment="1">
      <alignment horizontal="center" vertical="center"/>
    </xf>
    <xf numFmtId="0" fontId="0" fillId="0" borderId="2" xfId="0" applyBorder="1" applyAlignment="1"/>
    <xf numFmtId="0" fontId="0" fillId="0" borderId="3" xfId="0" applyBorder="1" applyAlignment="1"/>
    <xf numFmtId="0" fontId="0" fillId="0" borderId="4" xfId="0" applyBorder="1" applyAlignment="1"/>
    <xf numFmtId="0" fontId="10" fillId="27" borderId="2" xfId="0" applyFont="1" applyFill="1" applyBorder="1" applyAlignment="1">
      <alignment horizontal="center" vertical="center"/>
    </xf>
    <xf numFmtId="0" fontId="10" fillId="27" borderId="4" xfId="0" applyFont="1" applyFill="1" applyBorder="1" applyAlignment="1">
      <alignment horizontal="center" vertical="center"/>
    </xf>
    <xf numFmtId="0" fontId="37" fillId="0" borderId="0" xfId="0" applyFont="1" applyFill="1" applyAlignment="1">
      <alignment horizontal="center"/>
    </xf>
    <xf numFmtId="0" fontId="0" fillId="21" borderId="1" xfId="0" applyFill="1" applyBorder="1" applyAlignment="1">
      <alignment horizontal="center"/>
    </xf>
    <xf numFmtId="0" fontId="37" fillId="0" borderId="0" xfId="0" applyFont="1" applyAlignment="1">
      <alignment horizontal="center"/>
    </xf>
    <xf numFmtId="0" fontId="37" fillId="0" borderId="16" xfId="0" applyFont="1" applyBorder="1" applyAlignment="1">
      <alignment horizontal="center" vertical="top"/>
    </xf>
    <xf numFmtId="0" fontId="10" fillId="27" borderId="6" xfId="0" applyFont="1" applyFill="1" applyBorder="1" applyAlignment="1">
      <alignment horizontal="center" vertical="center"/>
    </xf>
    <xf numFmtId="0" fontId="0" fillId="27" borderId="7" xfId="0" applyFill="1" applyBorder="1" applyAlignment="1">
      <alignment horizontal="center" vertical="center"/>
    </xf>
    <xf numFmtId="0" fontId="10" fillId="27" borderId="3" xfId="0" applyFont="1" applyFill="1" applyBorder="1" applyAlignment="1">
      <alignment horizontal="center" vertical="center"/>
    </xf>
    <xf numFmtId="0" fontId="0" fillId="0" borderId="0" xfId="0" applyAlignment="1">
      <alignment horizontal="center"/>
    </xf>
    <xf numFmtId="9" fontId="0" fillId="0" borderId="2" xfId="0" applyNumberFormat="1" applyBorder="1" applyAlignment="1">
      <alignment horizontal="center"/>
    </xf>
    <xf numFmtId="9" fontId="0" fillId="0" borderId="3" xfId="0" applyNumberFormat="1" applyBorder="1" applyAlignment="1">
      <alignment horizontal="center"/>
    </xf>
    <xf numFmtId="9" fontId="2" fillId="0" borderId="1" xfId="0" applyNumberFormat="1" applyFont="1" applyBorder="1" applyAlignment="1">
      <alignment horizontal="center"/>
    </xf>
    <xf numFmtId="9" fontId="10" fillId="21" borderId="1" xfId="0" applyNumberFormat="1" applyFont="1" applyFill="1" applyBorder="1" applyAlignment="1">
      <alignment horizontal="center" vertical="center"/>
    </xf>
    <xf numFmtId="0" fontId="0" fillId="21" borderId="1" xfId="0" applyFill="1" applyBorder="1" applyAlignment="1">
      <alignment horizontal="center" vertical="center"/>
    </xf>
    <xf numFmtId="0" fontId="10" fillId="0" borderId="14" xfId="0" applyFont="1" applyBorder="1" applyAlignment="1">
      <alignment horizontal="left" vertical="center"/>
    </xf>
    <xf numFmtId="0" fontId="10" fillId="0" borderId="9" xfId="0" applyFont="1" applyBorder="1" applyAlignment="1">
      <alignment horizontal="left" vertical="center"/>
    </xf>
    <xf numFmtId="0" fontId="0" fillId="0" borderId="18" xfId="0" applyBorder="1" applyAlignment="1">
      <alignment horizontal="left" vertical="center"/>
    </xf>
    <xf numFmtId="0" fontId="0" fillId="0" borderId="10" xfId="0" applyBorder="1" applyAlignment="1">
      <alignment horizontal="left" vertical="center"/>
    </xf>
    <xf numFmtId="9" fontId="10" fillId="27" borderId="6" xfId="0" applyNumberFormat="1" applyFont="1" applyFill="1" applyBorder="1" applyAlignment="1">
      <alignment horizontal="center" vertical="center"/>
    </xf>
    <xf numFmtId="9" fontId="0" fillId="27" borderId="7" xfId="0" applyNumberFormat="1" applyFill="1" applyBorder="1" applyAlignment="1">
      <alignment horizontal="center" vertical="center"/>
    </xf>
    <xf numFmtId="9" fontId="10" fillId="0" borderId="14" xfId="0" applyNumberFormat="1" applyFont="1" applyBorder="1" applyAlignment="1">
      <alignment horizontal="center" vertical="center"/>
    </xf>
    <xf numFmtId="9" fontId="10" fillId="0" borderId="19" xfId="0" applyNumberFormat="1" applyFont="1" applyBorder="1" applyAlignment="1">
      <alignment horizontal="center" vertical="center"/>
    </xf>
    <xf numFmtId="9" fontId="10" fillId="0" borderId="9" xfId="0" applyNumberFormat="1" applyFont="1" applyBorder="1" applyAlignment="1">
      <alignment horizontal="center" vertical="center"/>
    </xf>
    <xf numFmtId="9" fontId="10" fillId="0" borderId="18" xfId="0" applyNumberFormat="1" applyFont="1" applyBorder="1" applyAlignment="1">
      <alignment horizontal="center" vertical="center"/>
    </xf>
    <xf numFmtId="9" fontId="10" fillId="0" borderId="16" xfId="0" applyNumberFormat="1" applyFont="1" applyBorder="1" applyAlignment="1">
      <alignment horizontal="center" vertical="center"/>
    </xf>
    <xf numFmtId="9" fontId="10" fillId="0" borderId="10" xfId="0" applyNumberFormat="1" applyFont="1" applyBorder="1" applyAlignment="1">
      <alignment horizontal="center" vertical="center"/>
    </xf>
    <xf numFmtId="0" fontId="0" fillId="0" borderId="18" xfId="0" applyBorder="1" applyAlignment="1">
      <alignment horizontal="center" vertical="center"/>
    </xf>
    <xf numFmtId="9" fontId="10" fillId="27" borderId="1" xfId="0" applyNumberFormat="1" applyFont="1" applyFill="1" applyBorder="1" applyAlignment="1">
      <alignment horizontal="center" vertical="center"/>
    </xf>
    <xf numFmtId="9" fontId="0" fillId="27" borderId="1" xfId="0" applyNumberFormat="1" applyFill="1" applyBorder="1" applyAlignment="1">
      <alignment horizontal="center" vertical="center"/>
    </xf>
    <xf numFmtId="9" fontId="10" fillId="0" borderId="1" xfId="0" applyNumberFormat="1" applyFont="1" applyBorder="1" applyAlignment="1">
      <alignment horizontal="center" vertical="center"/>
    </xf>
    <xf numFmtId="0" fontId="0" fillId="0" borderId="1" xfId="0" applyBorder="1" applyAlignment="1">
      <alignment horizontal="center" vertical="center"/>
    </xf>
    <xf numFmtId="10" fontId="10" fillId="0" borderId="14" xfId="0" applyNumberFormat="1" applyFont="1" applyBorder="1" applyAlignment="1">
      <alignment horizontal="justify" vertical="top"/>
    </xf>
    <xf numFmtId="10" fontId="0" fillId="0" borderId="9" xfId="0" applyNumberFormat="1" applyBorder="1" applyAlignment="1">
      <alignment horizontal="justify" vertical="top"/>
    </xf>
    <xf numFmtId="10" fontId="0" fillId="0" borderId="18" xfId="0" applyNumberFormat="1" applyBorder="1" applyAlignment="1">
      <alignment horizontal="justify" vertical="top"/>
    </xf>
    <xf numFmtId="10" fontId="0" fillId="0" borderId="10" xfId="0" applyNumberFormat="1" applyBorder="1" applyAlignment="1">
      <alignment horizontal="justify" vertical="top"/>
    </xf>
    <xf numFmtId="9" fontId="10" fillId="27" borderId="14" xfId="0" applyNumberFormat="1" applyFont="1" applyFill="1" applyBorder="1" applyAlignment="1">
      <alignment horizontal="center" vertical="center"/>
    </xf>
    <xf numFmtId="0" fontId="0" fillId="27" borderId="18" xfId="0" applyFill="1" applyBorder="1" applyAlignment="1">
      <alignment horizontal="center" vertical="center"/>
    </xf>
    <xf numFmtId="10" fontId="10" fillId="0" borderId="14" xfId="0" applyNumberFormat="1" applyFont="1" applyBorder="1" applyAlignment="1">
      <alignment horizontal="left" vertical="center"/>
    </xf>
    <xf numFmtId="10" fontId="0" fillId="0" borderId="9" xfId="0" applyNumberFormat="1" applyBorder="1" applyAlignment="1">
      <alignment horizontal="left" vertical="center"/>
    </xf>
    <xf numFmtId="10" fontId="0" fillId="0" borderId="18" xfId="0" applyNumberFormat="1" applyBorder="1" applyAlignment="1">
      <alignment horizontal="left" vertical="center"/>
    </xf>
    <xf numFmtId="10" fontId="0" fillId="0" borderId="10" xfId="0" applyNumberFormat="1" applyBorder="1" applyAlignment="1">
      <alignment horizontal="left" vertical="center"/>
    </xf>
    <xf numFmtId="0" fontId="0" fillId="0" borderId="9" xfId="0" applyBorder="1" applyAlignment="1">
      <alignment horizontal="left" vertical="center"/>
    </xf>
    <xf numFmtId="0" fontId="10" fillId="27" borderId="14" xfId="0" applyFont="1" applyFill="1" applyBorder="1" applyAlignment="1">
      <alignment horizontal="center" vertical="center"/>
    </xf>
    <xf numFmtId="0" fontId="0" fillId="27" borderId="9" xfId="0" applyFill="1" applyBorder="1" applyAlignment="1">
      <alignment horizontal="center" vertical="center"/>
    </xf>
    <xf numFmtId="0" fontId="0" fillId="27" borderId="10" xfId="0" applyFill="1" applyBorder="1" applyAlignment="1">
      <alignment horizontal="center" vertical="center"/>
    </xf>
    <xf numFmtId="0" fontId="10" fillId="27" borderId="2" xfId="0" applyFont="1" applyFill="1" applyBorder="1" applyAlignment="1">
      <alignment horizontal="justify" vertical="top"/>
    </xf>
    <xf numFmtId="0" fontId="10" fillId="27" borderId="3" xfId="0" applyFont="1" applyFill="1" applyBorder="1" applyAlignment="1">
      <alignment horizontal="justify" vertical="top"/>
    </xf>
    <xf numFmtId="0" fontId="10" fillId="27" borderId="4" xfId="0" applyFont="1" applyFill="1" applyBorder="1" applyAlignment="1">
      <alignment horizontal="justify" vertical="top"/>
    </xf>
    <xf numFmtId="0" fontId="10" fillId="9" borderId="6"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10" fillId="18" borderId="1" xfId="0" applyFont="1" applyFill="1" applyBorder="1" applyAlignment="1">
      <alignment horizontal="center" vertical="center" wrapText="1"/>
    </xf>
  </cellXfs>
  <cellStyles count="4">
    <cellStyle name="Normal" xfId="0" builtinId="0"/>
    <cellStyle name="Normal 2" xfId="3"/>
    <cellStyle name="Normal 3"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91"/>
  <sheetViews>
    <sheetView topLeftCell="G1" zoomScale="71" zoomScaleNormal="71" workbookViewId="0">
      <selection activeCell="G5" sqref="G5:T5"/>
    </sheetView>
  </sheetViews>
  <sheetFormatPr baseColWidth="10" defaultRowHeight="15" x14ac:dyDescent="0.25"/>
  <cols>
    <col min="1" max="1" width="19.5703125" hidden="1" customWidth="1"/>
    <col min="2" max="2" width="14.85546875" hidden="1" customWidth="1"/>
    <col min="3" max="3" width="14.7109375" hidden="1" customWidth="1"/>
    <col min="4" max="4" width="14.28515625" hidden="1" customWidth="1"/>
    <col min="5" max="5" width="14.7109375" hidden="1" customWidth="1"/>
    <col min="6" max="6" width="15.140625" hidden="1" customWidth="1"/>
    <col min="7" max="7" width="20.7109375" customWidth="1"/>
    <col min="8" max="8" width="19.28515625" customWidth="1"/>
    <col min="9" max="9" width="21.7109375" customWidth="1"/>
    <col min="10" max="10" width="23.7109375" customWidth="1"/>
    <col min="11" max="11" width="19.5703125" customWidth="1"/>
    <col min="12" max="12" width="13.28515625" customWidth="1"/>
    <col min="13" max="13" width="8.42578125" customWidth="1"/>
    <col min="14" max="14" width="8.140625" hidden="1" customWidth="1"/>
    <col min="15" max="15" width="8.85546875" hidden="1" customWidth="1"/>
    <col min="16" max="16" width="7.140625" hidden="1" customWidth="1"/>
    <col min="17" max="17" width="7.5703125" customWidth="1"/>
    <col min="18" max="18" width="7.42578125" hidden="1" customWidth="1"/>
    <col min="19" max="19" width="20.85546875" customWidth="1"/>
    <col min="20" max="22" width="20.85546875" hidden="1" customWidth="1"/>
    <col min="23" max="23" width="19.28515625" hidden="1" customWidth="1"/>
    <col min="24" max="24" width="22.85546875" hidden="1" customWidth="1"/>
    <col min="25" max="25" width="19.85546875" hidden="1" customWidth="1"/>
    <col min="26" max="26" width="16.42578125" hidden="1" customWidth="1"/>
    <col min="27" max="30" width="24.42578125" hidden="1" customWidth="1"/>
    <col min="31" max="31" width="29.28515625" customWidth="1"/>
    <col min="32" max="32" width="28.85546875" style="2" customWidth="1"/>
    <col min="33" max="33" width="32.28515625" customWidth="1"/>
    <col min="34" max="34" width="28.140625" hidden="1" customWidth="1"/>
    <col min="35" max="35" width="18.140625" hidden="1" customWidth="1"/>
    <col min="36" max="36" width="26.28515625" hidden="1" customWidth="1"/>
  </cols>
  <sheetData>
    <row r="1" spans="1:36" x14ac:dyDescent="0.25">
      <c r="V1" s="1"/>
      <c r="W1" t="s">
        <v>0</v>
      </c>
    </row>
    <row r="2" spans="1:36" ht="23.25" x14ac:dyDescent="0.35">
      <c r="B2" s="3"/>
      <c r="C2" s="3"/>
      <c r="D2" s="3"/>
      <c r="E2" s="3"/>
      <c r="F2" s="3"/>
      <c r="G2" s="4" t="s">
        <v>1</v>
      </c>
      <c r="H2" s="3"/>
      <c r="I2" s="3"/>
      <c r="J2" s="3"/>
      <c r="K2" s="3"/>
      <c r="L2" s="3"/>
      <c r="M2" s="3"/>
      <c r="N2" s="3"/>
      <c r="O2" s="3"/>
      <c r="P2" s="3"/>
      <c r="Q2" s="3"/>
      <c r="R2" s="3"/>
      <c r="S2" s="3"/>
      <c r="V2" s="5"/>
      <c r="W2" t="s">
        <v>2</v>
      </c>
      <c r="AB2" s="6"/>
      <c r="AC2" t="s">
        <v>3</v>
      </c>
    </row>
    <row r="3" spans="1:36" ht="23.25" x14ac:dyDescent="0.35">
      <c r="B3" s="3"/>
      <c r="C3" s="3"/>
      <c r="D3" s="3"/>
      <c r="E3" s="3"/>
      <c r="F3" s="3"/>
      <c r="G3" s="4" t="s">
        <v>4</v>
      </c>
      <c r="H3" s="3"/>
      <c r="I3" s="3"/>
      <c r="J3" s="3"/>
      <c r="K3" s="3"/>
      <c r="L3" s="3"/>
      <c r="M3" s="3"/>
      <c r="N3" s="3"/>
      <c r="O3" s="3"/>
      <c r="P3" s="3"/>
      <c r="Q3" s="3"/>
      <c r="R3" s="3"/>
      <c r="S3" s="3"/>
      <c r="V3" s="7"/>
      <c r="W3" t="s">
        <v>5</v>
      </c>
      <c r="AB3" s="8"/>
      <c r="AC3" t="s">
        <v>6</v>
      </c>
    </row>
    <row r="4" spans="1:36" ht="23.25" x14ac:dyDescent="0.35">
      <c r="B4" s="3"/>
      <c r="C4" s="3"/>
      <c r="D4" s="3"/>
      <c r="E4" s="3"/>
      <c r="F4" s="3"/>
      <c r="G4" s="4" t="s">
        <v>7</v>
      </c>
      <c r="H4" s="3"/>
      <c r="I4" s="3"/>
      <c r="J4" s="3"/>
      <c r="K4" s="3"/>
      <c r="L4" s="3"/>
      <c r="M4" s="3"/>
      <c r="N4" s="3"/>
      <c r="O4" s="3"/>
      <c r="P4" s="3"/>
      <c r="Q4" s="3"/>
      <c r="R4" s="3"/>
      <c r="S4" s="3"/>
      <c r="V4" s="9"/>
      <c r="W4" t="s">
        <v>8</v>
      </c>
      <c r="AB4" s="10"/>
      <c r="AC4" t="s">
        <v>9</v>
      </c>
    </row>
    <row r="5" spans="1:36" ht="23.25" x14ac:dyDescent="0.35">
      <c r="B5" s="11"/>
      <c r="G5" s="4" t="s">
        <v>10</v>
      </c>
      <c r="H5" s="227"/>
      <c r="I5" s="227"/>
      <c r="J5" s="227"/>
      <c r="K5" s="227"/>
      <c r="L5" s="227"/>
      <c r="M5" s="227"/>
      <c r="N5" s="227"/>
      <c r="O5" s="227"/>
      <c r="P5" s="227"/>
      <c r="Q5" s="227"/>
      <c r="R5" s="227"/>
      <c r="S5" s="227"/>
      <c r="T5" s="227"/>
      <c r="V5" s="12"/>
      <c r="W5" t="s">
        <v>11</v>
      </c>
      <c r="AB5" s="13"/>
      <c r="AC5" t="s">
        <v>12</v>
      </c>
    </row>
    <row r="6" spans="1:36" ht="23.25" x14ac:dyDescent="0.35">
      <c r="B6" s="11"/>
      <c r="G6" s="4" t="s">
        <v>2224</v>
      </c>
    </row>
    <row r="7" spans="1:36" ht="21" x14ac:dyDescent="0.35">
      <c r="A7" s="14"/>
      <c r="B7" s="15"/>
      <c r="C7" s="14"/>
      <c r="D7" s="14"/>
      <c r="E7" s="14"/>
      <c r="F7" s="14"/>
      <c r="V7" s="447" t="s">
        <v>13</v>
      </c>
      <c r="W7" s="448"/>
      <c r="X7" s="449"/>
      <c r="Y7" s="450" t="s">
        <v>13</v>
      </c>
      <c r="Z7" s="451"/>
      <c r="AA7" s="452"/>
      <c r="AB7" s="453" t="s">
        <v>13</v>
      </c>
      <c r="AC7" s="453"/>
      <c r="AD7" s="453"/>
      <c r="AE7" s="454" t="s">
        <v>13</v>
      </c>
      <c r="AF7" s="455"/>
      <c r="AG7" s="456"/>
      <c r="AH7" s="454" t="s">
        <v>13</v>
      </c>
      <c r="AI7" s="455"/>
      <c r="AJ7" s="456"/>
    </row>
    <row r="8" spans="1:36" ht="30" customHeight="1" x14ac:dyDescent="0.25">
      <c r="A8" s="432" t="s">
        <v>14</v>
      </c>
      <c r="B8" s="432"/>
      <c r="C8" s="432"/>
      <c r="D8" s="432"/>
      <c r="E8" s="432"/>
      <c r="F8" s="433"/>
      <c r="G8" s="434" t="s">
        <v>15</v>
      </c>
      <c r="H8" s="434"/>
      <c r="I8" s="434"/>
      <c r="J8" s="434"/>
      <c r="K8" s="434"/>
      <c r="L8" s="434"/>
      <c r="M8" s="434"/>
      <c r="N8" s="434"/>
      <c r="O8" s="434"/>
      <c r="P8" s="434"/>
      <c r="Q8" s="434"/>
      <c r="R8" s="434"/>
      <c r="S8" s="434"/>
      <c r="T8" s="434"/>
      <c r="U8" s="434"/>
      <c r="V8" s="435" t="s">
        <v>16</v>
      </c>
      <c r="W8" s="436"/>
      <c r="X8" s="437"/>
      <c r="Y8" s="438" t="s">
        <v>17</v>
      </c>
      <c r="Z8" s="439"/>
      <c r="AA8" s="440"/>
      <c r="AB8" s="441" t="s">
        <v>18</v>
      </c>
      <c r="AC8" s="442"/>
      <c r="AD8" s="443"/>
      <c r="AE8" s="444" t="s">
        <v>19</v>
      </c>
      <c r="AF8" s="445"/>
      <c r="AG8" s="446"/>
      <c r="AH8" s="424" t="s">
        <v>20</v>
      </c>
      <c r="AI8" s="425"/>
      <c r="AJ8" s="426"/>
    </row>
    <row r="9" spans="1:36" s="18" customFormat="1" ht="15" customHeight="1" x14ac:dyDescent="0.25">
      <c r="A9" s="427" t="s">
        <v>21</v>
      </c>
      <c r="B9" s="427" t="s">
        <v>22</v>
      </c>
      <c r="C9" s="427" t="s">
        <v>23</v>
      </c>
      <c r="D9" s="429" t="s">
        <v>24</v>
      </c>
      <c r="E9" s="429"/>
      <c r="F9" s="427" t="s">
        <v>25</v>
      </c>
      <c r="G9" s="430" t="s">
        <v>26</v>
      </c>
      <c r="H9" s="430" t="s">
        <v>22</v>
      </c>
      <c r="I9" s="420" t="s">
        <v>27</v>
      </c>
      <c r="J9" s="420" t="s">
        <v>28</v>
      </c>
      <c r="K9" s="420" t="s">
        <v>29</v>
      </c>
      <c r="L9" s="420" t="s">
        <v>23</v>
      </c>
      <c r="M9" s="422" t="s">
        <v>30</v>
      </c>
      <c r="N9" s="16" t="s">
        <v>24</v>
      </c>
      <c r="O9" s="16"/>
      <c r="P9" s="16"/>
      <c r="Q9" s="16"/>
      <c r="R9" s="16"/>
      <c r="S9" s="420" t="s">
        <v>25</v>
      </c>
      <c r="T9" s="422" t="s">
        <v>31</v>
      </c>
      <c r="U9" s="422" t="s">
        <v>32</v>
      </c>
      <c r="V9" s="416" t="s">
        <v>33</v>
      </c>
      <c r="W9" s="416" t="s">
        <v>34</v>
      </c>
      <c r="X9" s="416" t="s">
        <v>35</v>
      </c>
      <c r="Y9" s="17" t="s">
        <v>36</v>
      </c>
      <c r="Z9" s="418" t="s">
        <v>37</v>
      </c>
      <c r="AA9" s="418" t="s">
        <v>38</v>
      </c>
      <c r="AB9" s="410" t="s">
        <v>39</v>
      </c>
      <c r="AC9" s="410" t="s">
        <v>40</v>
      </c>
      <c r="AD9" s="410" t="s">
        <v>41</v>
      </c>
      <c r="AE9" s="412" t="s">
        <v>42</v>
      </c>
      <c r="AF9" s="414" t="s">
        <v>43</v>
      </c>
      <c r="AG9" s="412" t="s">
        <v>44</v>
      </c>
      <c r="AH9" s="404" t="s">
        <v>45</v>
      </c>
      <c r="AI9" s="404" t="s">
        <v>46</v>
      </c>
      <c r="AJ9" s="404" t="s">
        <v>47</v>
      </c>
    </row>
    <row r="10" spans="1:36" s="18" customFormat="1" ht="48.75" customHeight="1" x14ac:dyDescent="0.25">
      <c r="A10" s="428"/>
      <c r="B10" s="428"/>
      <c r="C10" s="428"/>
      <c r="D10" s="19" t="s">
        <v>48</v>
      </c>
      <c r="E10" s="19" t="s">
        <v>49</v>
      </c>
      <c r="F10" s="428"/>
      <c r="G10" s="431"/>
      <c r="H10" s="431"/>
      <c r="I10" s="421" t="s">
        <v>27</v>
      </c>
      <c r="J10" s="421" t="s">
        <v>28</v>
      </c>
      <c r="K10" s="421" t="s">
        <v>29</v>
      </c>
      <c r="L10" s="421" t="s">
        <v>23</v>
      </c>
      <c r="M10" s="423"/>
      <c r="N10" s="20">
        <v>2012</v>
      </c>
      <c r="O10" s="20">
        <v>2013</v>
      </c>
      <c r="P10" s="20">
        <v>2014</v>
      </c>
      <c r="Q10" s="20">
        <v>2015</v>
      </c>
      <c r="R10" s="20">
        <v>2016</v>
      </c>
      <c r="S10" s="421" t="s">
        <v>25</v>
      </c>
      <c r="T10" s="423"/>
      <c r="U10" s="423"/>
      <c r="V10" s="417"/>
      <c r="W10" s="417"/>
      <c r="X10" s="417"/>
      <c r="Y10" s="21" t="s">
        <v>36</v>
      </c>
      <c r="Z10" s="417"/>
      <c r="AA10" s="419"/>
      <c r="AB10" s="411"/>
      <c r="AC10" s="411" t="s">
        <v>33</v>
      </c>
      <c r="AD10" s="411" t="s">
        <v>33</v>
      </c>
      <c r="AE10" s="413"/>
      <c r="AF10" s="415"/>
      <c r="AG10" s="413"/>
      <c r="AH10" s="405"/>
      <c r="AI10" s="405"/>
      <c r="AJ10" s="405"/>
    </row>
    <row r="11" spans="1:36" s="18" customFormat="1" ht="187.5" hidden="1" customHeight="1" x14ac:dyDescent="0.25">
      <c r="A11" s="406" t="s">
        <v>50</v>
      </c>
      <c r="B11" s="385" t="s">
        <v>51</v>
      </c>
      <c r="C11" s="384" t="s">
        <v>52</v>
      </c>
      <c r="D11" s="22">
        <v>40909</v>
      </c>
      <c r="E11" s="22">
        <v>44896</v>
      </c>
      <c r="F11" s="408" t="s">
        <v>53</v>
      </c>
      <c r="G11" s="23" t="s">
        <v>54</v>
      </c>
      <c r="H11" s="385" t="s">
        <v>55</v>
      </c>
      <c r="I11" s="385" t="s">
        <v>56</v>
      </c>
      <c r="J11" s="24" t="s">
        <v>57</v>
      </c>
      <c r="K11" s="25" t="s">
        <v>58</v>
      </c>
      <c r="L11" s="25" t="s">
        <v>59</v>
      </c>
      <c r="M11" s="26">
        <v>0.5</v>
      </c>
      <c r="N11" s="27"/>
      <c r="O11" s="28"/>
      <c r="P11" s="29"/>
      <c r="Q11" s="30"/>
      <c r="R11" s="31">
        <v>1</v>
      </c>
      <c r="S11" s="25" t="s">
        <v>60</v>
      </c>
      <c r="T11" s="32"/>
      <c r="U11" s="33" t="s">
        <v>61</v>
      </c>
      <c r="V11" s="34" t="s">
        <v>62</v>
      </c>
      <c r="W11" s="35">
        <v>0.75</v>
      </c>
      <c r="X11" s="36" t="s">
        <v>63</v>
      </c>
      <c r="Y11" s="37" t="s">
        <v>64</v>
      </c>
      <c r="Z11" s="35">
        <v>0</v>
      </c>
      <c r="AA11" s="36"/>
      <c r="AB11" s="38"/>
      <c r="AC11" s="39"/>
      <c r="AD11" s="40"/>
      <c r="AE11" s="41"/>
      <c r="AF11" s="42"/>
      <c r="AG11" s="40"/>
      <c r="AH11" s="40"/>
      <c r="AI11" s="40"/>
      <c r="AJ11" s="40"/>
    </row>
    <row r="12" spans="1:36" ht="75" hidden="1" customHeight="1" x14ac:dyDescent="0.25">
      <c r="A12" s="407"/>
      <c r="B12" s="388"/>
      <c r="C12" s="388"/>
      <c r="D12" s="38"/>
      <c r="E12" s="38"/>
      <c r="F12" s="408"/>
      <c r="G12" s="43" t="s">
        <v>54</v>
      </c>
      <c r="H12" s="385"/>
      <c r="I12" s="385"/>
      <c r="J12" s="44"/>
      <c r="K12" s="45" t="s">
        <v>65</v>
      </c>
      <c r="L12" s="45" t="s">
        <v>66</v>
      </c>
      <c r="M12" s="46">
        <v>0.5</v>
      </c>
      <c r="N12" s="47"/>
      <c r="O12" s="28"/>
      <c r="P12" s="28"/>
      <c r="Q12" s="29"/>
      <c r="R12" s="28"/>
      <c r="S12" s="45" t="s">
        <v>60</v>
      </c>
      <c r="T12" s="40"/>
      <c r="U12" s="36"/>
      <c r="V12" s="34"/>
      <c r="W12" s="35"/>
      <c r="X12" s="36"/>
      <c r="Y12" s="40"/>
      <c r="Z12" s="36"/>
      <c r="AA12" s="36"/>
      <c r="AB12" s="48" t="s">
        <v>67</v>
      </c>
      <c r="AC12" s="39"/>
      <c r="AD12" s="40"/>
      <c r="AE12" s="9" t="s">
        <v>68</v>
      </c>
      <c r="AF12" s="42"/>
      <c r="AG12" s="40"/>
      <c r="AH12" s="40"/>
      <c r="AI12" s="40"/>
      <c r="AJ12" s="40"/>
    </row>
    <row r="13" spans="1:36" ht="201" hidden="1" customHeight="1" x14ac:dyDescent="0.25">
      <c r="A13" s="407"/>
      <c r="B13" s="389"/>
      <c r="C13" s="389"/>
      <c r="D13" s="38"/>
      <c r="E13" s="38"/>
      <c r="F13" s="409"/>
      <c r="G13" s="43" t="s">
        <v>54</v>
      </c>
      <c r="H13" s="385"/>
      <c r="I13" s="385"/>
      <c r="J13" s="49" t="s">
        <v>69</v>
      </c>
      <c r="K13" s="45" t="s">
        <v>70</v>
      </c>
      <c r="L13" s="45" t="s">
        <v>71</v>
      </c>
      <c r="M13" s="46">
        <v>1</v>
      </c>
      <c r="N13" s="47"/>
      <c r="O13" s="28"/>
      <c r="P13" s="50"/>
      <c r="Q13" s="28"/>
      <c r="R13" s="28"/>
      <c r="S13" s="45" t="s">
        <v>60</v>
      </c>
      <c r="T13" s="40"/>
      <c r="U13" s="36" t="s">
        <v>72</v>
      </c>
      <c r="V13" s="34"/>
      <c r="W13" s="35"/>
      <c r="X13" s="36"/>
      <c r="Y13" s="36"/>
      <c r="Z13" s="36"/>
      <c r="AA13" s="36"/>
      <c r="AB13" s="37" t="s">
        <v>73</v>
      </c>
      <c r="AC13" s="39" t="s">
        <v>74</v>
      </c>
      <c r="AD13" s="40"/>
      <c r="AE13" s="9" t="s">
        <v>68</v>
      </c>
      <c r="AF13" s="42"/>
      <c r="AG13" s="40"/>
      <c r="AH13" s="40"/>
      <c r="AI13" s="40"/>
      <c r="AJ13" s="40"/>
    </row>
    <row r="14" spans="1:36" ht="193.5" customHeight="1" x14ac:dyDescent="0.25">
      <c r="A14" s="407"/>
      <c r="B14" s="38"/>
      <c r="C14" s="38"/>
      <c r="D14" s="38"/>
      <c r="E14" s="38"/>
      <c r="F14" s="38"/>
      <c r="G14" s="43" t="s">
        <v>54</v>
      </c>
      <c r="H14" s="383"/>
      <c r="I14" s="383"/>
      <c r="J14" s="49" t="s">
        <v>75</v>
      </c>
      <c r="K14" s="45" t="s">
        <v>76</v>
      </c>
      <c r="L14" s="45" t="s">
        <v>77</v>
      </c>
      <c r="M14" s="46">
        <v>0.75</v>
      </c>
      <c r="N14" s="51">
        <v>0.2</v>
      </c>
      <c r="O14" s="52">
        <v>0.2</v>
      </c>
      <c r="P14" s="53">
        <v>0.2</v>
      </c>
      <c r="Q14" s="54">
        <v>0.2</v>
      </c>
      <c r="R14" s="55">
        <v>0.2</v>
      </c>
      <c r="S14" s="45" t="s">
        <v>78</v>
      </c>
      <c r="T14" s="56" t="s">
        <v>79</v>
      </c>
      <c r="U14" s="407" t="s">
        <v>80</v>
      </c>
      <c r="V14" s="34" t="s">
        <v>81</v>
      </c>
      <c r="W14" s="35">
        <v>1</v>
      </c>
      <c r="X14" s="36"/>
      <c r="Y14" s="37" t="s">
        <v>82</v>
      </c>
      <c r="Z14" s="35">
        <v>1</v>
      </c>
      <c r="AA14" s="36"/>
      <c r="AB14" s="34" t="s">
        <v>83</v>
      </c>
      <c r="AC14" s="34" t="s">
        <v>84</v>
      </c>
      <c r="AD14" s="40"/>
      <c r="AE14" s="57" t="s">
        <v>85</v>
      </c>
      <c r="AF14" s="35">
        <v>1</v>
      </c>
      <c r="AG14" s="40"/>
      <c r="AH14" s="57" t="s">
        <v>86</v>
      </c>
      <c r="AI14" s="36"/>
      <c r="AJ14" s="36"/>
    </row>
    <row r="15" spans="1:36" ht="117" hidden="1" customHeight="1" x14ac:dyDescent="0.25">
      <c r="A15" s="407"/>
      <c r="B15" s="38"/>
      <c r="C15" s="38"/>
      <c r="D15" s="38"/>
      <c r="E15" s="38"/>
      <c r="F15" s="38"/>
      <c r="G15" s="43" t="s">
        <v>54</v>
      </c>
      <c r="H15" s="38"/>
      <c r="I15" s="38"/>
      <c r="J15" s="45"/>
      <c r="K15" s="45" t="s">
        <v>87</v>
      </c>
      <c r="L15" s="45" t="s">
        <v>88</v>
      </c>
      <c r="M15" s="46">
        <v>0.25</v>
      </c>
      <c r="N15" s="51">
        <v>1</v>
      </c>
      <c r="O15" s="46"/>
      <c r="P15" s="46"/>
      <c r="Q15" s="46"/>
      <c r="R15" s="46"/>
      <c r="S15" s="45" t="s">
        <v>78</v>
      </c>
      <c r="T15" s="56"/>
      <c r="U15" s="407"/>
      <c r="V15" s="58" t="s">
        <v>89</v>
      </c>
      <c r="W15" s="35">
        <v>1</v>
      </c>
      <c r="X15" s="36"/>
      <c r="Y15" s="40"/>
      <c r="Z15" s="36"/>
      <c r="AA15" s="36"/>
      <c r="AB15" s="38"/>
      <c r="AC15" s="39"/>
      <c r="AD15" s="40"/>
      <c r="AE15" s="57"/>
      <c r="AF15" s="42"/>
      <c r="AG15" s="40"/>
      <c r="AH15" s="36"/>
      <c r="AI15" s="36"/>
      <c r="AJ15" s="36"/>
    </row>
    <row r="16" spans="1:36" s="18" customFormat="1" ht="162" customHeight="1" x14ac:dyDescent="0.25">
      <c r="A16" s="407"/>
      <c r="B16" s="38"/>
      <c r="C16" s="38"/>
      <c r="D16" s="38"/>
      <c r="E16" s="38"/>
      <c r="F16" s="38"/>
      <c r="G16" s="43" t="s">
        <v>54</v>
      </c>
      <c r="H16" s="38"/>
      <c r="I16" s="45"/>
      <c r="J16" s="45" t="s">
        <v>90</v>
      </c>
      <c r="K16" s="45" t="s">
        <v>91</v>
      </c>
      <c r="L16" s="45" t="s">
        <v>92</v>
      </c>
      <c r="M16" s="46">
        <v>1</v>
      </c>
      <c r="N16" s="51">
        <v>0.2</v>
      </c>
      <c r="O16" s="52">
        <v>0.2</v>
      </c>
      <c r="P16" s="53">
        <v>0.2</v>
      </c>
      <c r="Q16" s="54">
        <v>0.2</v>
      </c>
      <c r="R16" s="55">
        <v>0.2</v>
      </c>
      <c r="S16" s="45" t="s">
        <v>78</v>
      </c>
      <c r="T16" s="40"/>
      <c r="U16" s="36" t="s">
        <v>93</v>
      </c>
      <c r="V16" s="34" t="s">
        <v>94</v>
      </c>
      <c r="W16" s="35">
        <v>1</v>
      </c>
      <c r="X16" s="36"/>
      <c r="Y16" s="36" t="s">
        <v>95</v>
      </c>
      <c r="Z16" s="35">
        <v>1</v>
      </c>
      <c r="AA16" s="36"/>
      <c r="AB16" s="36" t="s">
        <v>96</v>
      </c>
      <c r="AC16" s="34" t="s">
        <v>84</v>
      </c>
      <c r="AD16" s="40"/>
      <c r="AE16" s="59" t="s">
        <v>96</v>
      </c>
      <c r="AF16" s="35">
        <v>1</v>
      </c>
      <c r="AG16" s="40"/>
      <c r="AH16" s="60" t="s">
        <v>97</v>
      </c>
      <c r="AI16" s="36"/>
      <c r="AJ16" s="36"/>
    </row>
    <row r="17" spans="1:36" s="18" customFormat="1" ht="272.25" hidden="1" customHeight="1" x14ac:dyDescent="0.25">
      <c r="A17" s="407"/>
      <c r="B17" s="45"/>
      <c r="C17" s="45" t="s">
        <v>98</v>
      </c>
      <c r="D17" s="61">
        <v>40909</v>
      </c>
      <c r="E17" s="61">
        <v>44896</v>
      </c>
      <c r="F17" s="43" t="s">
        <v>53</v>
      </c>
      <c r="G17" s="62" t="s">
        <v>54</v>
      </c>
      <c r="H17" s="38"/>
      <c r="I17" s="38"/>
      <c r="J17" s="63" t="s">
        <v>99</v>
      </c>
      <c r="K17" s="64" t="s">
        <v>100</v>
      </c>
      <c r="L17" s="64" t="s">
        <v>101</v>
      </c>
      <c r="M17" s="65">
        <v>0.4</v>
      </c>
      <c r="N17" s="66"/>
      <c r="O17" s="65"/>
      <c r="P17" s="67"/>
      <c r="Q17" s="68"/>
      <c r="R17" s="68"/>
      <c r="S17" s="64" t="s">
        <v>60</v>
      </c>
      <c r="T17" s="64" t="s">
        <v>102</v>
      </c>
      <c r="U17" s="64" t="s">
        <v>103</v>
      </c>
      <c r="V17" s="34"/>
      <c r="W17" s="35"/>
      <c r="X17" s="36"/>
      <c r="Y17" s="36" t="s">
        <v>104</v>
      </c>
      <c r="Z17" s="36"/>
      <c r="AA17" s="36"/>
      <c r="AB17" s="36" t="s">
        <v>104</v>
      </c>
      <c r="AC17" s="34" t="s">
        <v>105</v>
      </c>
      <c r="AD17" s="40"/>
      <c r="AE17" s="9" t="s">
        <v>68</v>
      </c>
      <c r="AF17" s="42"/>
      <c r="AG17" s="40"/>
      <c r="AH17" s="36"/>
      <c r="AI17" s="36"/>
      <c r="AJ17" s="36"/>
    </row>
    <row r="18" spans="1:36" ht="207.75" hidden="1" customHeight="1" x14ac:dyDescent="0.25">
      <c r="A18" s="407"/>
      <c r="B18" s="45"/>
      <c r="C18" s="45" t="s">
        <v>106</v>
      </c>
      <c r="D18" s="61">
        <v>40909</v>
      </c>
      <c r="E18" s="61">
        <v>44896</v>
      </c>
      <c r="F18" s="43" t="s">
        <v>53</v>
      </c>
      <c r="G18" s="62" t="s">
        <v>54</v>
      </c>
      <c r="H18" s="38"/>
      <c r="I18" s="38"/>
      <c r="J18" s="45"/>
      <c r="K18" s="64" t="s">
        <v>107</v>
      </c>
      <c r="L18" s="64" t="s">
        <v>108</v>
      </c>
      <c r="M18" s="65">
        <v>0.6</v>
      </c>
      <c r="N18" s="47"/>
      <c r="O18" s="28"/>
      <c r="P18" s="65"/>
      <c r="Q18" s="65"/>
      <c r="R18" s="65"/>
      <c r="S18" s="64" t="s">
        <v>60</v>
      </c>
      <c r="T18" s="64" t="s">
        <v>102</v>
      </c>
      <c r="U18" s="64" t="s">
        <v>103</v>
      </c>
      <c r="V18" s="34"/>
      <c r="W18" s="35"/>
      <c r="X18" s="36"/>
      <c r="Y18" s="40"/>
      <c r="Z18" s="36"/>
      <c r="AA18" s="36"/>
      <c r="AB18" s="38" t="s">
        <v>67</v>
      </c>
      <c r="AC18" s="39"/>
      <c r="AD18" s="40"/>
      <c r="AE18" s="9" t="s">
        <v>68</v>
      </c>
      <c r="AF18" s="42"/>
      <c r="AG18" s="40"/>
      <c r="AH18" s="36"/>
      <c r="AI18" s="36"/>
      <c r="AJ18" s="36"/>
    </row>
    <row r="19" spans="1:36" ht="156" hidden="1" customHeight="1" x14ac:dyDescent="0.25">
      <c r="A19" s="407"/>
      <c r="B19" s="45"/>
      <c r="C19" s="45" t="s">
        <v>109</v>
      </c>
      <c r="D19" s="69">
        <v>40909</v>
      </c>
      <c r="E19" s="69">
        <v>44896</v>
      </c>
      <c r="F19" s="43" t="s">
        <v>53</v>
      </c>
      <c r="G19" s="62" t="s">
        <v>54</v>
      </c>
      <c r="H19" s="38"/>
      <c r="I19" s="38"/>
      <c r="J19" s="63" t="s">
        <v>110</v>
      </c>
      <c r="K19" s="64" t="s">
        <v>111</v>
      </c>
      <c r="L19" s="64" t="s">
        <v>112</v>
      </c>
      <c r="M19" s="65">
        <v>1</v>
      </c>
      <c r="N19" s="47"/>
      <c r="O19" s="28"/>
      <c r="P19" s="65"/>
      <c r="Q19" s="65"/>
      <c r="R19" s="65"/>
      <c r="S19" s="64" t="s">
        <v>60</v>
      </c>
      <c r="T19" s="64" t="s">
        <v>102</v>
      </c>
      <c r="U19" s="64" t="s">
        <v>103</v>
      </c>
      <c r="V19" s="34"/>
      <c r="W19" s="70"/>
      <c r="X19" s="71"/>
      <c r="Y19" s="72"/>
      <c r="Z19" s="71"/>
      <c r="AA19" s="71"/>
      <c r="AB19" s="38" t="s">
        <v>67</v>
      </c>
      <c r="AC19" s="39"/>
      <c r="AD19" s="40"/>
      <c r="AE19" s="9" t="s">
        <v>68</v>
      </c>
      <c r="AF19" s="42"/>
      <c r="AG19" s="40"/>
      <c r="AH19" s="36"/>
      <c r="AI19" s="36"/>
      <c r="AJ19" s="36"/>
    </row>
    <row r="20" spans="1:36" ht="106.5" hidden="1" customHeight="1" x14ac:dyDescent="0.25">
      <c r="A20" s="33"/>
      <c r="B20" s="25" t="s">
        <v>113</v>
      </c>
      <c r="C20" s="25" t="s">
        <v>114</v>
      </c>
      <c r="D20" s="22">
        <v>40909</v>
      </c>
      <c r="E20" s="22">
        <v>44896</v>
      </c>
      <c r="F20" s="25" t="s">
        <v>115</v>
      </c>
      <c r="G20" s="23" t="s">
        <v>54</v>
      </c>
      <c r="H20" s="73"/>
      <c r="I20" s="25"/>
      <c r="J20" s="25" t="s">
        <v>116</v>
      </c>
      <c r="K20" s="25" t="s">
        <v>117</v>
      </c>
      <c r="L20" s="25" t="s">
        <v>118</v>
      </c>
      <c r="M20" s="26">
        <v>0.4</v>
      </c>
      <c r="N20" s="74"/>
      <c r="O20" s="75">
        <v>1</v>
      </c>
      <c r="P20" s="26"/>
      <c r="Q20" s="26"/>
      <c r="R20" s="26"/>
      <c r="S20" s="25" t="s">
        <v>119</v>
      </c>
      <c r="T20" s="76" t="s">
        <v>120</v>
      </c>
      <c r="U20" s="33" t="s">
        <v>121</v>
      </c>
      <c r="V20" s="34"/>
      <c r="W20" s="35"/>
      <c r="X20" s="36"/>
      <c r="Y20" s="77" t="s">
        <v>122</v>
      </c>
      <c r="Z20" s="35">
        <v>0.35</v>
      </c>
      <c r="AA20" s="78" t="s">
        <v>123</v>
      </c>
      <c r="AB20" s="38"/>
      <c r="AC20" s="39"/>
      <c r="AD20" s="40"/>
      <c r="AE20" s="40"/>
      <c r="AF20" s="42" t="s">
        <v>124</v>
      </c>
      <c r="AG20" s="40"/>
      <c r="AH20" s="36"/>
      <c r="AI20" s="36"/>
      <c r="AJ20" s="36"/>
    </row>
    <row r="21" spans="1:36" ht="107.25" hidden="1" customHeight="1" x14ac:dyDescent="0.25">
      <c r="A21" s="33"/>
      <c r="B21" s="45"/>
      <c r="C21" s="45"/>
      <c r="D21" s="69"/>
      <c r="E21" s="69"/>
      <c r="F21" s="45"/>
      <c r="G21" s="43" t="s">
        <v>54</v>
      </c>
      <c r="H21" s="38"/>
      <c r="I21" s="45"/>
      <c r="J21" s="45"/>
      <c r="K21" s="64" t="s">
        <v>125</v>
      </c>
      <c r="L21" s="64" t="s">
        <v>108</v>
      </c>
      <c r="M21" s="65">
        <v>0.6</v>
      </c>
      <c r="N21" s="65"/>
      <c r="O21" s="65"/>
      <c r="P21" s="65"/>
      <c r="Q21" s="65"/>
      <c r="R21" s="79">
        <v>0.25</v>
      </c>
      <c r="S21" s="64" t="s">
        <v>60</v>
      </c>
      <c r="T21" s="73" t="s">
        <v>120</v>
      </c>
      <c r="U21" s="80" t="s">
        <v>121</v>
      </c>
      <c r="V21" s="34"/>
      <c r="W21" s="35"/>
      <c r="X21" s="36"/>
      <c r="Y21" s="36"/>
      <c r="Z21" s="36"/>
      <c r="AA21" s="36"/>
      <c r="AB21" s="77" t="s">
        <v>126</v>
      </c>
      <c r="AC21" s="39"/>
      <c r="AD21" s="40"/>
      <c r="AE21" s="9" t="s">
        <v>127</v>
      </c>
      <c r="AF21" s="42"/>
      <c r="AG21" s="40"/>
      <c r="AH21" s="36" t="s">
        <v>128</v>
      </c>
      <c r="AI21" s="36"/>
      <c r="AJ21" s="36"/>
    </row>
    <row r="22" spans="1:36" s="87" customFormat="1" ht="201.75" hidden="1" customHeight="1" x14ac:dyDescent="0.25">
      <c r="A22" s="402" t="s">
        <v>50</v>
      </c>
      <c r="B22" s="384" t="s">
        <v>129</v>
      </c>
      <c r="C22" s="45" t="s">
        <v>130</v>
      </c>
      <c r="D22" s="81">
        <v>40909</v>
      </c>
      <c r="E22" s="81">
        <v>44896</v>
      </c>
      <c r="F22" s="82" t="s">
        <v>115</v>
      </c>
      <c r="G22" s="62" t="s">
        <v>54</v>
      </c>
      <c r="H22" s="64" t="s">
        <v>131</v>
      </c>
      <c r="I22" s="38"/>
      <c r="J22" s="63" t="s">
        <v>132</v>
      </c>
      <c r="K22" s="64" t="s">
        <v>133</v>
      </c>
      <c r="L22" s="64" t="s">
        <v>134</v>
      </c>
      <c r="M22" s="65">
        <v>0.4</v>
      </c>
      <c r="N22" s="83"/>
      <c r="O22" s="65">
        <v>1</v>
      </c>
      <c r="P22" s="83"/>
      <c r="Q22" s="83"/>
      <c r="R22" s="83"/>
      <c r="S22" s="84" t="s">
        <v>115</v>
      </c>
      <c r="T22" s="73" t="s">
        <v>135</v>
      </c>
      <c r="U22" s="73" t="s">
        <v>136</v>
      </c>
      <c r="V22" s="85"/>
      <c r="W22" s="35"/>
      <c r="X22" s="36"/>
      <c r="Y22" s="72" t="s">
        <v>137</v>
      </c>
      <c r="Z22" s="26">
        <v>0.25</v>
      </c>
      <c r="AA22" s="78" t="s">
        <v>138</v>
      </c>
      <c r="AB22" s="38"/>
      <c r="AC22" s="34" t="s">
        <v>139</v>
      </c>
      <c r="AD22" s="38"/>
      <c r="AE22" s="38"/>
      <c r="AF22" s="86"/>
      <c r="AG22" s="38"/>
      <c r="AH22" s="45"/>
      <c r="AI22" s="45"/>
      <c r="AJ22" s="45"/>
    </row>
    <row r="23" spans="1:36" s="87" customFormat="1" ht="315" customHeight="1" x14ac:dyDescent="0.25">
      <c r="A23" s="402"/>
      <c r="B23" s="385"/>
      <c r="C23" s="45"/>
      <c r="D23" s="81"/>
      <c r="E23" s="81"/>
      <c r="F23" s="82"/>
      <c r="G23" s="62" t="s">
        <v>54</v>
      </c>
      <c r="H23" s="38"/>
      <c r="I23" s="38"/>
      <c r="J23" s="64"/>
      <c r="K23" s="64" t="s">
        <v>140</v>
      </c>
      <c r="L23" s="64" t="s">
        <v>141</v>
      </c>
      <c r="M23" s="65">
        <v>0.6</v>
      </c>
      <c r="N23" s="83"/>
      <c r="O23" s="83"/>
      <c r="P23" s="88"/>
      <c r="Q23" s="89">
        <v>0.5</v>
      </c>
      <c r="R23" s="79">
        <v>0.5</v>
      </c>
      <c r="S23" s="84" t="s">
        <v>115</v>
      </c>
      <c r="T23" s="73" t="s">
        <v>135</v>
      </c>
      <c r="U23" s="73" t="s">
        <v>136</v>
      </c>
      <c r="V23" s="85"/>
      <c r="W23" s="35"/>
      <c r="X23" s="36"/>
      <c r="Y23" s="36"/>
      <c r="Z23" s="36"/>
      <c r="AA23" s="36"/>
      <c r="AB23" s="90" t="s">
        <v>142</v>
      </c>
      <c r="AC23" s="34" t="s">
        <v>84</v>
      </c>
      <c r="AD23" s="38"/>
      <c r="AE23" s="90" t="s">
        <v>143</v>
      </c>
      <c r="AF23" s="46">
        <v>0.33</v>
      </c>
      <c r="AG23" s="90" t="s">
        <v>144</v>
      </c>
      <c r="AH23" s="45" t="s">
        <v>145</v>
      </c>
      <c r="AI23" s="45"/>
      <c r="AJ23" s="45"/>
    </row>
    <row r="24" spans="1:36" s="87" customFormat="1" ht="108" hidden="1" customHeight="1" x14ac:dyDescent="0.25">
      <c r="A24" s="402"/>
      <c r="B24" s="385"/>
      <c r="C24" s="45" t="s">
        <v>146</v>
      </c>
      <c r="D24" s="81">
        <v>40909</v>
      </c>
      <c r="E24" s="81">
        <v>44896</v>
      </c>
      <c r="F24" s="82" t="s">
        <v>115</v>
      </c>
      <c r="G24" s="62" t="s">
        <v>54</v>
      </c>
      <c r="H24" s="38"/>
      <c r="I24" s="38"/>
      <c r="J24" s="63" t="s">
        <v>147</v>
      </c>
      <c r="K24" s="64" t="s">
        <v>148</v>
      </c>
      <c r="L24" s="64" t="s">
        <v>149</v>
      </c>
      <c r="M24" s="65">
        <v>1</v>
      </c>
      <c r="N24" s="83"/>
      <c r="O24" s="91">
        <v>1</v>
      </c>
      <c r="P24" s="83"/>
      <c r="Q24" s="83"/>
      <c r="R24" s="83"/>
      <c r="S24" s="84" t="s">
        <v>115</v>
      </c>
      <c r="T24" s="73" t="s">
        <v>135</v>
      </c>
      <c r="U24" s="73" t="s">
        <v>136</v>
      </c>
      <c r="V24" s="85"/>
      <c r="W24" s="35"/>
      <c r="X24" s="36"/>
      <c r="Y24" s="36" t="s">
        <v>150</v>
      </c>
      <c r="Z24" s="35">
        <v>1</v>
      </c>
      <c r="AA24" s="36"/>
      <c r="AB24" s="38"/>
      <c r="AC24" s="92"/>
      <c r="AD24" s="38"/>
      <c r="AE24" s="38"/>
      <c r="AF24" s="86"/>
      <c r="AG24" s="38"/>
      <c r="AH24" s="45"/>
      <c r="AI24" s="45"/>
      <c r="AJ24" s="45"/>
    </row>
    <row r="25" spans="1:36" s="87" customFormat="1" ht="111" hidden="1" customHeight="1" x14ac:dyDescent="0.25">
      <c r="A25" s="402"/>
      <c r="B25" s="385"/>
      <c r="C25" s="45" t="s">
        <v>151</v>
      </c>
      <c r="D25" s="81">
        <v>40909</v>
      </c>
      <c r="E25" s="81">
        <v>44896</v>
      </c>
      <c r="F25" s="82" t="s">
        <v>115</v>
      </c>
      <c r="G25" s="62" t="s">
        <v>54</v>
      </c>
      <c r="H25" s="38"/>
      <c r="I25" s="38"/>
      <c r="J25" s="63" t="s">
        <v>152</v>
      </c>
      <c r="K25" s="64" t="s">
        <v>153</v>
      </c>
      <c r="L25" s="64" t="s">
        <v>154</v>
      </c>
      <c r="M25" s="65">
        <v>0.4</v>
      </c>
      <c r="N25" s="65">
        <v>1</v>
      </c>
      <c r="O25" s="83"/>
      <c r="P25" s="83"/>
      <c r="Q25" s="83"/>
      <c r="R25" s="83"/>
      <c r="S25" s="84" t="s">
        <v>115</v>
      </c>
      <c r="T25" s="73" t="s">
        <v>135</v>
      </c>
      <c r="U25" s="73" t="s">
        <v>136</v>
      </c>
      <c r="V25" s="85"/>
      <c r="W25" s="35">
        <v>1</v>
      </c>
      <c r="X25" s="36"/>
      <c r="Y25" s="36"/>
      <c r="Z25" s="36"/>
      <c r="AA25" s="36"/>
      <c r="AB25" s="38"/>
      <c r="AC25" s="92"/>
      <c r="AD25" s="38"/>
      <c r="AE25" s="38"/>
      <c r="AF25" s="86"/>
      <c r="AG25" s="38"/>
      <c r="AH25" s="45"/>
      <c r="AI25" s="45"/>
      <c r="AJ25" s="45"/>
    </row>
    <row r="26" spans="1:36" s="87" customFormat="1" ht="100.5" hidden="1" customHeight="1" x14ac:dyDescent="0.25">
      <c r="A26" s="402"/>
      <c r="B26" s="385"/>
      <c r="C26" s="45"/>
      <c r="D26" s="81"/>
      <c r="E26" s="81"/>
      <c r="F26" s="82"/>
      <c r="G26" s="62" t="s">
        <v>54</v>
      </c>
      <c r="H26" s="38"/>
      <c r="I26" s="38"/>
      <c r="J26" s="83"/>
      <c r="K26" s="64" t="s">
        <v>155</v>
      </c>
      <c r="L26" s="64" t="s">
        <v>156</v>
      </c>
      <c r="M26" s="65">
        <v>0.6</v>
      </c>
      <c r="N26" s="65"/>
      <c r="O26" s="65">
        <v>1</v>
      </c>
      <c r="P26" s="65"/>
      <c r="Q26" s="65"/>
      <c r="R26" s="65"/>
      <c r="S26" s="84" t="s">
        <v>115</v>
      </c>
      <c r="T26" s="73" t="s">
        <v>135</v>
      </c>
      <c r="U26" s="73" t="s">
        <v>136</v>
      </c>
      <c r="V26" s="85"/>
      <c r="W26" s="35"/>
      <c r="X26" s="36"/>
      <c r="Y26" s="72" t="s">
        <v>157</v>
      </c>
      <c r="Z26" s="35">
        <v>1</v>
      </c>
      <c r="AA26" s="36"/>
      <c r="AB26" s="38"/>
      <c r="AC26" s="92"/>
      <c r="AD26" s="38"/>
      <c r="AE26" s="38"/>
      <c r="AF26" s="86"/>
      <c r="AG26" s="38"/>
      <c r="AH26" s="45"/>
      <c r="AI26" s="45"/>
      <c r="AJ26" s="45"/>
    </row>
    <row r="27" spans="1:36" s="87" customFormat="1" ht="171.75" hidden="1" customHeight="1" x14ac:dyDescent="0.25">
      <c r="A27" s="402"/>
      <c r="B27" s="385"/>
      <c r="C27" s="45" t="s">
        <v>158</v>
      </c>
      <c r="D27" s="81">
        <v>40909</v>
      </c>
      <c r="E27" s="81">
        <v>44896</v>
      </c>
      <c r="F27" s="82" t="s">
        <v>115</v>
      </c>
      <c r="G27" s="62" t="s">
        <v>54</v>
      </c>
      <c r="H27" s="38"/>
      <c r="I27" s="38"/>
      <c r="J27" s="63" t="s">
        <v>159</v>
      </c>
      <c r="K27" s="64" t="s">
        <v>160</v>
      </c>
      <c r="L27" s="64" t="s">
        <v>161</v>
      </c>
      <c r="M27" s="65">
        <v>0.4</v>
      </c>
      <c r="N27" s="83"/>
      <c r="O27" s="65">
        <v>1</v>
      </c>
      <c r="P27" s="83"/>
      <c r="Q27" s="83"/>
      <c r="R27" s="83"/>
      <c r="S27" s="84" t="s">
        <v>115</v>
      </c>
      <c r="T27" s="73" t="s">
        <v>135</v>
      </c>
      <c r="U27" s="73" t="s">
        <v>136</v>
      </c>
      <c r="V27" s="85"/>
      <c r="W27" s="35"/>
      <c r="X27" s="36"/>
      <c r="Y27" s="72" t="s">
        <v>162</v>
      </c>
      <c r="Z27" s="26">
        <v>0.25</v>
      </c>
      <c r="AA27" s="78" t="s">
        <v>138</v>
      </c>
      <c r="AB27" s="38"/>
      <c r="AC27" s="34" t="s">
        <v>163</v>
      </c>
      <c r="AD27" s="38"/>
      <c r="AE27" s="38"/>
      <c r="AF27" s="86"/>
      <c r="AG27" s="38"/>
      <c r="AH27" s="45"/>
      <c r="AI27" s="45"/>
      <c r="AJ27" s="45"/>
    </row>
    <row r="28" spans="1:36" s="87" customFormat="1" ht="171.75" customHeight="1" x14ac:dyDescent="0.25">
      <c r="A28" s="402"/>
      <c r="B28" s="385"/>
      <c r="C28" s="45"/>
      <c r="D28" s="81"/>
      <c r="E28" s="81"/>
      <c r="F28" s="82"/>
      <c r="G28" s="62"/>
      <c r="H28" s="38"/>
      <c r="I28" s="38"/>
      <c r="J28" s="64"/>
      <c r="K28" s="64" t="s">
        <v>164</v>
      </c>
      <c r="L28" s="64" t="s">
        <v>165</v>
      </c>
      <c r="M28" s="65">
        <v>0.4</v>
      </c>
      <c r="N28" s="83"/>
      <c r="O28" s="65"/>
      <c r="P28" s="88">
        <v>0.33</v>
      </c>
      <c r="Q28" s="89">
        <v>0.33</v>
      </c>
      <c r="R28" s="79">
        <v>0.33</v>
      </c>
      <c r="S28" s="84" t="s">
        <v>115</v>
      </c>
      <c r="T28" s="73" t="s">
        <v>135</v>
      </c>
      <c r="U28" s="73" t="s">
        <v>136</v>
      </c>
      <c r="V28" s="85"/>
      <c r="W28" s="35"/>
      <c r="X28" s="36"/>
      <c r="Y28" s="36" t="s">
        <v>166</v>
      </c>
      <c r="Z28" s="36"/>
      <c r="AA28" s="36"/>
      <c r="AB28" s="90" t="s">
        <v>167</v>
      </c>
      <c r="AC28" s="34" t="s">
        <v>168</v>
      </c>
      <c r="AD28" s="38"/>
      <c r="AE28" s="93" t="s">
        <v>169</v>
      </c>
      <c r="AF28" s="46">
        <v>1</v>
      </c>
      <c r="AG28" s="38"/>
      <c r="AH28" s="45" t="s">
        <v>170</v>
      </c>
      <c r="AI28" s="45"/>
      <c r="AJ28" s="45"/>
    </row>
    <row r="29" spans="1:36" s="87" customFormat="1" ht="96.75" hidden="1" customHeight="1" x14ac:dyDescent="0.25">
      <c r="A29" s="403"/>
      <c r="B29" s="386"/>
      <c r="C29" s="45" t="s">
        <v>171</v>
      </c>
      <c r="D29" s="81">
        <v>40909</v>
      </c>
      <c r="E29" s="81">
        <v>44896</v>
      </c>
      <c r="F29" s="45" t="s">
        <v>115</v>
      </c>
      <c r="G29" s="62" t="s">
        <v>54</v>
      </c>
      <c r="H29" s="38"/>
      <c r="I29" s="38"/>
      <c r="J29" s="83"/>
      <c r="K29" s="64" t="s">
        <v>172</v>
      </c>
      <c r="L29" s="64" t="s">
        <v>173</v>
      </c>
      <c r="M29" s="65">
        <v>0.2</v>
      </c>
      <c r="N29" s="83"/>
      <c r="O29" s="52"/>
      <c r="P29" s="65">
        <v>1</v>
      </c>
      <c r="Q29" s="89"/>
      <c r="R29" s="65"/>
      <c r="S29" s="64" t="s">
        <v>115</v>
      </c>
      <c r="T29" s="73" t="s">
        <v>135</v>
      </c>
      <c r="U29" s="73" t="s">
        <v>136</v>
      </c>
      <c r="V29" s="85"/>
      <c r="W29" s="35"/>
      <c r="X29" s="36"/>
      <c r="Y29" s="94" t="s">
        <v>174</v>
      </c>
      <c r="Z29" s="26">
        <v>0</v>
      </c>
      <c r="AA29" s="78" t="s">
        <v>175</v>
      </c>
      <c r="AB29" s="90" t="s">
        <v>167</v>
      </c>
      <c r="AC29" s="34" t="s">
        <v>84</v>
      </c>
      <c r="AD29" s="38"/>
      <c r="AE29" s="93" t="s">
        <v>169</v>
      </c>
      <c r="AF29" s="86"/>
      <c r="AG29" s="38"/>
      <c r="AH29" s="45"/>
      <c r="AI29" s="45"/>
      <c r="AJ29" s="45"/>
    </row>
    <row r="30" spans="1:36" ht="30.75" customHeight="1" x14ac:dyDescent="0.25">
      <c r="A30" s="95"/>
      <c r="B30" s="96"/>
      <c r="C30" s="97"/>
      <c r="D30" s="98"/>
      <c r="E30" s="98"/>
      <c r="F30" s="99"/>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1"/>
      <c r="AE30" s="100"/>
      <c r="AF30" s="100"/>
      <c r="AG30" s="100"/>
      <c r="AH30" s="36"/>
      <c r="AI30" s="36"/>
      <c r="AJ30" s="36"/>
    </row>
    <row r="31" spans="1:36" ht="116.25" customHeight="1" x14ac:dyDescent="0.25">
      <c r="A31" s="381" t="s">
        <v>176</v>
      </c>
      <c r="B31" s="384" t="s">
        <v>177</v>
      </c>
      <c r="C31" s="384" t="s">
        <v>178</v>
      </c>
      <c r="D31" s="387">
        <v>40909</v>
      </c>
      <c r="E31" s="387">
        <v>44896</v>
      </c>
      <c r="F31" s="384" t="s">
        <v>179</v>
      </c>
      <c r="G31" s="381" t="s">
        <v>54</v>
      </c>
      <c r="H31" s="384" t="s">
        <v>180</v>
      </c>
      <c r="I31" s="384" t="s">
        <v>181</v>
      </c>
      <c r="J31" s="49" t="s">
        <v>182</v>
      </c>
      <c r="K31" s="44" t="s">
        <v>183</v>
      </c>
      <c r="L31" s="45" t="s">
        <v>184</v>
      </c>
      <c r="M31" s="46">
        <v>0.5</v>
      </c>
      <c r="N31" s="51">
        <v>0.2</v>
      </c>
      <c r="O31" s="52">
        <v>0.2</v>
      </c>
      <c r="P31" s="53">
        <v>0.2</v>
      </c>
      <c r="Q31" s="54">
        <v>0.2</v>
      </c>
      <c r="R31" s="55">
        <v>0.2</v>
      </c>
      <c r="S31" s="45" t="s">
        <v>185</v>
      </c>
      <c r="T31" s="36" t="s">
        <v>186</v>
      </c>
      <c r="U31" s="392" t="s">
        <v>187</v>
      </c>
      <c r="V31" s="34" t="s">
        <v>188</v>
      </c>
      <c r="W31" s="35">
        <v>1</v>
      </c>
      <c r="X31" s="36"/>
      <c r="Y31" s="94" t="s">
        <v>189</v>
      </c>
      <c r="Z31" s="35">
        <v>1</v>
      </c>
      <c r="AA31" s="36"/>
      <c r="AB31" s="90" t="s">
        <v>189</v>
      </c>
      <c r="AC31" s="34" t="s">
        <v>84</v>
      </c>
      <c r="AD31" s="40"/>
      <c r="AE31" s="102" t="s">
        <v>190</v>
      </c>
      <c r="AF31" s="35">
        <v>1</v>
      </c>
      <c r="AG31" s="40"/>
      <c r="AH31" s="60" t="s">
        <v>190</v>
      </c>
      <c r="AI31" s="36"/>
      <c r="AJ31" s="36"/>
    </row>
    <row r="32" spans="1:36" ht="135" x14ac:dyDescent="0.25">
      <c r="A32" s="388"/>
      <c r="B32" s="388"/>
      <c r="C32" s="388"/>
      <c r="D32" s="388"/>
      <c r="E32" s="388"/>
      <c r="F32" s="388"/>
      <c r="G32" s="382"/>
      <c r="H32" s="390"/>
      <c r="I32" s="388"/>
      <c r="J32" s="44"/>
      <c r="K32" s="44" t="s">
        <v>191</v>
      </c>
      <c r="L32" s="45" t="s">
        <v>192</v>
      </c>
      <c r="M32" s="46">
        <v>0.5</v>
      </c>
      <c r="N32" s="51">
        <v>0.2</v>
      </c>
      <c r="O32" s="52">
        <v>0.2</v>
      </c>
      <c r="P32" s="53">
        <v>0.2</v>
      </c>
      <c r="Q32" s="54">
        <v>0.2</v>
      </c>
      <c r="R32" s="55">
        <v>0.2</v>
      </c>
      <c r="S32" s="45" t="s">
        <v>185</v>
      </c>
      <c r="T32" s="36" t="s">
        <v>186</v>
      </c>
      <c r="U32" s="383"/>
      <c r="V32" s="34" t="s">
        <v>193</v>
      </c>
      <c r="W32" s="35">
        <v>1</v>
      </c>
      <c r="X32" s="36"/>
      <c r="Y32" s="103" t="s">
        <v>194</v>
      </c>
      <c r="Z32" s="35">
        <v>1</v>
      </c>
      <c r="AA32" s="36"/>
      <c r="AB32" s="90" t="s">
        <v>194</v>
      </c>
      <c r="AC32" s="34" t="s">
        <v>84</v>
      </c>
      <c r="AD32" s="40"/>
      <c r="AE32" s="102" t="s">
        <v>190</v>
      </c>
      <c r="AF32" s="35">
        <v>1</v>
      </c>
      <c r="AG32" s="40"/>
      <c r="AH32" s="60" t="s">
        <v>190</v>
      </c>
      <c r="AI32" s="36"/>
      <c r="AJ32" s="36"/>
    </row>
    <row r="33" spans="1:36" ht="47.25" hidden="1" customHeight="1" x14ac:dyDescent="0.25">
      <c r="A33" s="388"/>
      <c r="B33" s="388"/>
      <c r="C33" s="388"/>
      <c r="D33" s="388"/>
      <c r="E33" s="388"/>
      <c r="F33" s="388"/>
      <c r="G33" s="382"/>
      <c r="H33" s="390"/>
      <c r="I33" s="388"/>
      <c r="J33" s="393" t="s">
        <v>195</v>
      </c>
      <c r="K33" s="44" t="s">
        <v>196</v>
      </c>
      <c r="L33" s="45" t="s">
        <v>197</v>
      </c>
      <c r="M33" s="46">
        <v>0.2</v>
      </c>
      <c r="N33" s="28">
        <v>1</v>
      </c>
      <c r="O33" s="47"/>
      <c r="P33" s="47"/>
      <c r="Q33" s="47"/>
      <c r="R33" s="47"/>
      <c r="S33" s="396" t="s">
        <v>198</v>
      </c>
      <c r="T33" s="399" t="s">
        <v>199</v>
      </c>
      <c r="U33" s="399" t="s">
        <v>187</v>
      </c>
      <c r="V33" s="34" t="s">
        <v>200</v>
      </c>
      <c r="W33" s="35">
        <v>1</v>
      </c>
      <c r="X33" s="36"/>
      <c r="Y33" s="36"/>
      <c r="Z33" s="36"/>
      <c r="AA33" s="36"/>
      <c r="AB33" s="38"/>
      <c r="AC33" s="39"/>
      <c r="AD33" s="40"/>
      <c r="AE33" s="40"/>
      <c r="AF33" s="42"/>
      <c r="AG33" s="40"/>
      <c r="AH33" s="36"/>
      <c r="AI33" s="36"/>
      <c r="AJ33" s="36"/>
    </row>
    <row r="34" spans="1:36" ht="105.75" hidden="1" customHeight="1" x14ac:dyDescent="0.25">
      <c r="A34" s="388"/>
      <c r="B34" s="388"/>
      <c r="C34" s="388"/>
      <c r="D34" s="388"/>
      <c r="E34" s="388"/>
      <c r="F34" s="388"/>
      <c r="G34" s="382"/>
      <c r="H34" s="390"/>
      <c r="I34" s="388"/>
      <c r="J34" s="394"/>
      <c r="K34" s="44" t="s">
        <v>201</v>
      </c>
      <c r="L34" s="45" t="s">
        <v>71</v>
      </c>
      <c r="M34" s="46">
        <v>0.2</v>
      </c>
      <c r="N34" s="47"/>
      <c r="O34" s="104">
        <v>1</v>
      </c>
      <c r="P34" s="47"/>
      <c r="Q34" s="47"/>
      <c r="R34" s="47"/>
      <c r="S34" s="397"/>
      <c r="T34" s="400"/>
      <c r="U34" s="400"/>
      <c r="V34" s="34" t="s">
        <v>202</v>
      </c>
      <c r="W34" s="35">
        <v>1</v>
      </c>
      <c r="X34" s="36"/>
      <c r="Y34" s="36" t="s">
        <v>203</v>
      </c>
      <c r="Z34" s="36" t="s">
        <v>204</v>
      </c>
      <c r="AA34" s="36"/>
      <c r="AB34" s="38"/>
      <c r="AC34" s="39"/>
      <c r="AD34" s="40"/>
      <c r="AE34" s="40"/>
      <c r="AF34" s="42"/>
      <c r="AG34" s="40"/>
      <c r="AH34" s="36"/>
      <c r="AI34" s="36"/>
      <c r="AJ34" s="36"/>
    </row>
    <row r="35" spans="1:36" ht="203.25" customHeight="1" x14ac:dyDescent="0.25">
      <c r="A35" s="388"/>
      <c r="B35" s="389"/>
      <c r="C35" s="389"/>
      <c r="D35" s="389"/>
      <c r="E35" s="389"/>
      <c r="F35" s="389"/>
      <c r="G35" s="383"/>
      <c r="H35" s="391"/>
      <c r="I35" s="389"/>
      <c r="J35" s="395"/>
      <c r="K35" s="45" t="s">
        <v>205</v>
      </c>
      <c r="L35" s="45" t="s">
        <v>206</v>
      </c>
      <c r="M35" s="46">
        <v>0.6</v>
      </c>
      <c r="N35" s="47"/>
      <c r="O35" s="47"/>
      <c r="P35" s="53">
        <v>0.33</v>
      </c>
      <c r="Q35" s="54">
        <v>0.33</v>
      </c>
      <c r="R35" s="55">
        <v>0.34</v>
      </c>
      <c r="S35" s="398"/>
      <c r="T35" s="401"/>
      <c r="U35" s="401"/>
      <c r="V35" s="34"/>
      <c r="W35" s="35"/>
      <c r="X35" s="36"/>
      <c r="Y35" s="103" t="s">
        <v>207</v>
      </c>
      <c r="Z35" s="36"/>
      <c r="AA35" s="36"/>
      <c r="AB35" s="90" t="s">
        <v>207</v>
      </c>
      <c r="AC35" s="34" t="s">
        <v>84</v>
      </c>
      <c r="AD35" s="40"/>
      <c r="AE35" s="102" t="s">
        <v>208</v>
      </c>
      <c r="AF35" s="35">
        <v>1</v>
      </c>
      <c r="AG35" s="40"/>
      <c r="AH35" s="60" t="s">
        <v>209</v>
      </c>
      <c r="AI35" s="36"/>
      <c r="AJ35" s="36"/>
    </row>
    <row r="36" spans="1:36" ht="144" hidden="1" customHeight="1" x14ac:dyDescent="0.25">
      <c r="A36" s="388"/>
      <c r="B36" s="384" t="s">
        <v>210</v>
      </c>
      <c r="C36" s="45" t="s">
        <v>211</v>
      </c>
      <c r="D36" s="61">
        <v>40909</v>
      </c>
      <c r="E36" s="61">
        <v>41061</v>
      </c>
      <c r="F36" s="43" t="s">
        <v>212</v>
      </c>
      <c r="G36" s="381" t="s">
        <v>54</v>
      </c>
      <c r="H36" s="38"/>
      <c r="I36" s="38"/>
      <c r="J36" s="63" t="s">
        <v>213</v>
      </c>
      <c r="K36" s="64" t="s">
        <v>214</v>
      </c>
      <c r="L36" s="64" t="s">
        <v>215</v>
      </c>
      <c r="M36" s="65">
        <v>1</v>
      </c>
      <c r="N36" s="65">
        <v>1</v>
      </c>
      <c r="O36" s="38"/>
      <c r="P36" s="38"/>
      <c r="Q36" s="38"/>
      <c r="R36" s="38"/>
      <c r="S36" s="64" t="s">
        <v>216</v>
      </c>
      <c r="T36" s="64" t="s">
        <v>217</v>
      </c>
      <c r="U36" s="105" t="s">
        <v>218</v>
      </c>
      <c r="V36" s="106"/>
      <c r="W36" s="107">
        <v>0</v>
      </c>
      <c r="X36" s="36"/>
      <c r="Y36" s="36" t="s">
        <v>219</v>
      </c>
      <c r="Z36" s="108">
        <v>1</v>
      </c>
      <c r="AA36" s="36"/>
      <c r="AB36" s="38"/>
      <c r="AC36" s="39"/>
      <c r="AD36" s="40"/>
      <c r="AE36" s="40"/>
      <c r="AF36" s="42"/>
      <c r="AG36" s="40"/>
      <c r="AH36" s="36"/>
      <c r="AI36" s="36"/>
      <c r="AJ36" s="36"/>
    </row>
    <row r="37" spans="1:36" ht="178.5" hidden="1" customHeight="1" x14ac:dyDescent="0.25">
      <c r="A37" s="388"/>
      <c r="B37" s="385"/>
      <c r="C37" s="45" t="s">
        <v>220</v>
      </c>
      <c r="D37" s="61">
        <v>40909</v>
      </c>
      <c r="E37" s="61">
        <v>41244</v>
      </c>
      <c r="F37" s="43" t="s">
        <v>212</v>
      </c>
      <c r="G37" s="382"/>
      <c r="H37" s="38"/>
      <c r="I37" s="38"/>
      <c r="J37" s="63" t="s">
        <v>221</v>
      </c>
      <c r="K37" s="64" t="s">
        <v>222</v>
      </c>
      <c r="L37" s="64" t="s">
        <v>223</v>
      </c>
      <c r="M37" s="65">
        <v>0.4</v>
      </c>
      <c r="N37" s="65">
        <v>1</v>
      </c>
      <c r="O37" s="38"/>
      <c r="P37" s="38"/>
      <c r="Q37" s="38"/>
      <c r="R37" s="38"/>
      <c r="S37" s="64" t="s">
        <v>216</v>
      </c>
      <c r="T37" s="64" t="s">
        <v>217</v>
      </c>
      <c r="U37" s="105" t="s">
        <v>218</v>
      </c>
      <c r="V37" s="106"/>
      <c r="W37" s="107">
        <v>1</v>
      </c>
      <c r="X37" s="36"/>
      <c r="Y37" s="72"/>
      <c r="Z37" s="36"/>
      <c r="AA37" s="36"/>
      <c r="AB37" s="38"/>
      <c r="AC37" s="39"/>
      <c r="AD37" s="40"/>
      <c r="AE37" s="40"/>
      <c r="AF37" s="42"/>
      <c r="AG37" s="40"/>
      <c r="AH37" s="36"/>
      <c r="AI37" s="36"/>
      <c r="AJ37" s="36"/>
    </row>
    <row r="38" spans="1:36" ht="230.25" customHeight="1" x14ac:dyDescent="0.25">
      <c r="A38" s="388"/>
      <c r="B38" s="385"/>
      <c r="C38" s="45"/>
      <c r="D38" s="61"/>
      <c r="E38" s="61"/>
      <c r="F38" s="43"/>
      <c r="G38" s="382"/>
      <c r="H38" s="38"/>
      <c r="I38" s="38"/>
      <c r="J38" s="64"/>
      <c r="K38" s="64" t="s">
        <v>224</v>
      </c>
      <c r="L38" s="64" t="s">
        <v>225</v>
      </c>
      <c r="M38" s="65">
        <v>0.6</v>
      </c>
      <c r="N38" s="65"/>
      <c r="O38" s="65">
        <v>0.25</v>
      </c>
      <c r="P38" s="53">
        <v>0.25</v>
      </c>
      <c r="Q38" s="89">
        <v>0.25</v>
      </c>
      <c r="R38" s="79">
        <v>0.25</v>
      </c>
      <c r="S38" s="64" t="s">
        <v>216</v>
      </c>
      <c r="T38" s="64"/>
      <c r="U38" s="105"/>
      <c r="V38" s="106"/>
      <c r="W38" s="35"/>
      <c r="X38" s="36"/>
      <c r="Y38" s="90" t="s">
        <v>226</v>
      </c>
      <c r="Z38" s="107">
        <v>1</v>
      </c>
      <c r="AA38" s="36"/>
      <c r="AB38" s="90" t="s">
        <v>227</v>
      </c>
      <c r="AC38" s="90" t="s">
        <v>84</v>
      </c>
      <c r="AD38" s="40"/>
      <c r="AE38" s="90" t="s">
        <v>228</v>
      </c>
      <c r="AF38" s="35">
        <v>1</v>
      </c>
      <c r="AG38" s="40"/>
      <c r="AH38" s="36" t="s">
        <v>226</v>
      </c>
      <c r="AI38" s="36"/>
      <c r="AJ38" s="36"/>
    </row>
    <row r="39" spans="1:36" ht="156.75" customHeight="1" x14ac:dyDescent="0.25">
      <c r="A39" s="388"/>
      <c r="B39" s="386"/>
      <c r="C39" s="45" t="s">
        <v>229</v>
      </c>
      <c r="D39" s="61">
        <v>40909</v>
      </c>
      <c r="E39" s="61">
        <v>44896</v>
      </c>
      <c r="F39" s="43" t="s">
        <v>212</v>
      </c>
      <c r="G39" s="382"/>
      <c r="H39" s="45" t="s">
        <v>230</v>
      </c>
      <c r="I39" s="45" t="s">
        <v>231</v>
      </c>
      <c r="J39" s="49" t="s">
        <v>232</v>
      </c>
      <c r="K39" s="45" t="s">
        <v>233</v>
      </c>
      <c r="L39" s="45" t="s">
        <v>234</v>
      </c>
      <c r="M39" s="46">
        <v>1</v>
      </c>
      <c r="N39" s="51">
        <v>0.2</v>
      </c>
      <c r="O39" s="52">
        <v>0.2</v>
      </c>
      <c r="P39" s="53">
        <v>0.2</v>
      </c>
      <c r="Q39" s="54">
        <v>0.2</v>
      </c>
      <c r="R39" s="55">
        <v>0.2</v>
      </c>
      <c r="S39" s="45" t="s">
        <v>235</v>
      </c>
      <c r="T39" s="72"/>
      <c r="U39" s="36"/>
      <c r="V39" s="58" t="s">
        <v>236</v>
      </c>
      <c r="W39" s="35">
        <v>1</v>
      </c>
      <c r="X39" s="36"/>
      <c r="Y39" s="36" t="s">
        <v>236</v>
      </c>
      <c r="Z39" s="107">
        <v>1</v>
      </c>
      <c r="AA39" s="36"/>
      <c r="AB39" s="90" t="s">
        <v>236</v>
      </c>
      <c r="AC39" s="34" t="s">
        <v>84</v>
      </c>
      <c r="AD39" s="40"/>
      <c r="AE39" s="90" t="s">
        <v>237</v>
      </c>
      <c r="AF39" s="35">
        <v>1</v>
      </c>
      <c r="AG39" s="40"/>
      <c r="AH39" s="36" t="s">
        <v>237</v>
      </c>
      <c r="AI39" s="36"/>
      <c r="AJ39" s="36"/>
    </row>
    <row r="40" spans="1:36" ht="158.25" customHeight="1" x14ac:dyDescent="0.25">
      <c r="A40" s="388"/>
      <c r="B40" s="109"/>
      <c r="C40" s="45"/>
      <c r="D40" s="61"/>
      <c r="E40" s="61"/>
      <c r="F40" s="43"/>
      <c r="G40" s="382"/>
      <c r="H40" s="38"/>
      <c r="I40" s="38"/>
      <c r="J40" s="49" t="s">
        <v>238</v>
      </c>
      <c r="K40" s="45" t="s">
        <v>239</v>
      </c>
      <c r="L40" s="45" t="s">
        <v>240</v>
      </c>
      <c r="M40" s="46">
        <v>1</v>
      </c>
      <c r="N40" s="51">
        <v>0.2</v>
      </c>
      <c r="O40" s="52">
        <v>0.2</v>
      </c>
      <c r="P40" s="53">
        <v>0.2</v>
      </c>
      <c r="Q40" s="54">
        <v>0.2</v>
      </c>
      <c r="R40" s="55">
        <v>0.2</v>
      </c>
      <c r="S40" s="45" t="s">
        <v>235</v>
      </c>
      <c r="T40" s="72"/>
      <c r="U40" s="36"/>
      <c r="V40" s="58" t="s">
        <v>241</v>
      </c>
      <c r="W40" s="35">
        <v>1</v>
      </c>
      <c r="X40" s="36"/>
      <c r="Y40" s="36" t="s">
        <v>226</v>
      </c>
      <c r="Z40" s="107">
        <v>1</v>
      </c>
      <c r="AA40" s="36"/>
      <c r="AB40" s="110" t="s">
        <v>226</v>
      </c>
      <c r="AC40" s="34" t="s">
        <v>84</v>
      </c>
      <c r="AD40" s="40"/>
      <c r="AE40" s="110" t="s">
        <v>242</v>
      </c>
      <c r="AF40" s="35">
        <v>1</v>
      </c>
      <c r="AG40" s="40"/>
      <c r="AH40" s="36" t="s">
        <v>226</v>
      </c>
      <c r="AI40" s="36"/>
      <c r="AJ40" s="36"/>
    </row>
    <row r="41" spans="1:36" ht="116.25" customHeight="1" x14ac:dyDescent="0.25">
      <c r="A41" s="388"/>
      <c r="B41" s="109"/>
      <c r="C41" s="45"/>
      <c r="D41" s="61"/>
      <c r="E41" s="61"/>
      <c r="F41" s="43"/>
      <c r="G41" s="383"/>
      <c r="H41" s="38"/>
      <c r="I41" s="38"/>
      <c r="J41" s="45" t="s">
        <v>243</v>
      </c>
      <c r="K41" s="45" t="s">
        <v>244</v>
      </c>
      <c r="L41" s="45" t="s">
        <v>245</v>
      </c>
      <c r="M41" s="46">
        <v>1</v>
      </c>
      <c r="N41" s="51">
        <v>0.2</v>
      </c>
      <c r="O41" s="52">
        <v>0.2</v>
      </c>
      <c r="P41" s="53">
        <v>0.2</v>
      </c>
      <c r="Q41" s="54">
        <v>0.2</v>
      </c>
      <c r="R41" s="55">
        <v>0.2</v>
      </c>
      <c r="S41" s="45" t="s">
        <v>235</v>
      </c>
      <c r="T41" s="72"/>
      <c r="U41" s="36"/>
      <c r="V41" s="111" t="s">
        <v>246</v>
      </c>
      <c r="W41" s="46">
        <v>1</v>
      </c>
      <c r="X41" s="38"/>
      <c r="Y41" s="36" t="s">
        <v>247</v>
      </c>
      <c r="Z41" s="107">
        <v>1</v>
      </c>
      <c r="AA41" s="38"/>
      <c r="AB41" s="90" t="s">
        <v>248</v>
      </c>
      <c r="AC41" s="34" t="s">
        <v>84</v>
      </c>
      <c r="AD41" s="40"/>
      <c r="AE41" s="110" t="s">
        <v>249</v>
      </c>
      <c r="AF41" s="35">
        <v>1</v>
      </c>
      <c r="AG41" s="40"/>
      <c r="AH41" s="36" t="s">
        <v>250</v>
      </c>
      <c r="AI41" s="36"/>
      <c r="AJ41" s="36"/>
    </row>
    <row r="42" spans="1:36" ht="96" customHeight="1" x14ac:dyDescent="0.25">
      <c r="A42" s="388"/>
      <c r="B42" s="109"/>
      <c r="C42" s="45"/>
      <c r="D42" s="61"/>
      <c r="E42" s="61"/>
      <c r="F42" s="43"/>
      <c r="G42" s="43" t="s">
        <v>54</v>
      </c>
      <c r="H42" s="38"/>
      <c r="I42" s="38"/>
      <c r="J42" s="49" t="s">
        <v>251</v>
      </c>
      <c r="K42" s="112" t="s">
        <v>252</v>
      </c>
      <c r="L42" s="112" t="s">
        <v>253</v>
      </c>
      <c r="M42" s="46">
        <v>1</v>
      </c>
      <c r="N42" s="51">
        <v>0.2</v>
      </c>
      <c r="O42" s="52">
        <v>0.2</v>
      </c>
      <c r="P42" s="53">
        <v>0.2</v>
      </c>
      <c r="Q42" s="54">
        <v>0.2</v>
      </c>
      <c r="R42" s="55">
        <v>0.2</v>
      </c>
      <c r="S42" s="112" t="s">
        <v>254</v>
      </c>
      <c r="T42" s="72"/>
      <c r="U42" s="36"/>
      <c r="V42" s="111" t="s">
        <v>255</v>
      </c>
      <c r="W42" s="46">
        <v>1</v>
      </c>
      <c r="X42" s="38"/>
      <c r="Y42" s="72" t="s">
        <v>256</v>
      </c>
      <c r="Z42" s="107">
        <v>1</v>
      </c>
      <c r="AA42" s="38"/>
      <c r="AB42" s="113" t="s">
        <v>256</v>
      </c>
      <c r="AC42" s="34" t="s">
        <v>84</v>
      </c>
      <c r="AD42" s="40"/>
      <c r="AE42" s="113" t="s">
        <v>256</v>
      </c>
      <c r="AF42" s="35">
        <v>1</v>
      </c>
      <c r="AG42" s="40"/>
      <c r="AH42" s="36"/>
      <c r="AI42" s="36"/>
      <c r="AJ42" s="36"/>
    </row>
    <row r="43" spans="1:36" ht="204" hidden="1" customHeight="1" x14ac:dyDescent="0.25">
      <c r="A43" s="388"/>
      <c r="B43" s="384" t="s">
        <v>257</v>
      </c>
      <c r="C43" s="45" t="s">
        <v>258</v>
      </c>
      <c r="D43" s="61">
        <v>40909</v>
      </c>
      <c r="E43" s="61">
        <v>41609</v>
      </c>
      <c r="F43" s="43" t="s">
        <v>212</v>
      </c>
      <c r="G43" s="43" t="s">
        <v>54</v>
      </c>
      <c r="H43" s="64" t="s">
        <v>259</v>
      </c>
      <c r="I43" s="114"/>
      <c r="J43" s="63" t="s">
        <v>260</v>
      </c>
      <c r="K43" s="64" t="s">
        <v>261</v>
      </c>
      <c r="L43" s="64" t="s">
        <v>262</v>
      </c>
      <c r="M43" s="65">
        <v>1</v>
      </c>
      <c r="N43" s="66"/>
      <c r="O43" s="52">
        <v>1</v>
      </c>
      <c r="P43" s="65"/>
      <c r="Q43" s="65"/>
      <c r="R43" s="65"/>
      <c r="S43" s="64" t="s">
        <v>235</v>
      </c>
      <c r="T43" s="105" t="s">
        <v>263</v>
      </c>
      <c r="U43" s="105" t="s">
        <v>218</v>
      </c>
      <c r="V43" s="34"/>
      <c r="W43" s="46"/>
      <c r="X43" s="38"/>
      <c r="Y43" s="115" t="s">
        <v>264</v>
      </c>
      <c r="Z43" s="107">
        <v>1</v>
      </c>
      <c r="AA43" s="38"/>
      <c r="AB43" s="38"/>
      <c r="AC43" s="39"/>
      <c r="AD43" s="40"/>
      <c r="AE43" s="40"/>
      <c r="AF43" s="42"/>
      <c r="AG43" s="40"/>
      <c r="AH43" s="36"/>
      <c r="AI43" s="36"/>
      <c r="AJ43" s="36"/>
    </row>
    <row r="44" spans="1:36" ht="150" hidden="1" customHeight="1" x14ac:dyDescent="0.25">
      <c r="A44" s="388"/>
      <c r="B44" s="385"/>
      <c r="C44" s="45" t="s">
        <v>265</v>
      </c>
      <c r="D44" s="61">
        <v>40909</v>
      </c>
      <c r="E44" s="61">
        <v>44896</v>
      </c>
      <c r="F44" s="43" t="s">
        <v>212</v>
      </c>
      <c r="G44" s="43" t="s">
        <v>54</v>
      </c>
      <c r="H44" s="116"/>
      <c r="I44" s="114"/>
      <c r="J44" s="63" t="s">
        <v>266</v>
      </c>
      <c r="K44" s="64" t="s">
        <v>267</v>
      </c>
      <c r="L44" s="64" t="s">
        <v>223</v>
      </c>
      <c r="M44" s="65">
        <v>1</v>
      </c>
      <c r="N44" s="47"/>
      <c r="O44" s="47"/>
      <c r="P44" s="46"/>
      <c r="Q44" s="46"/>
      <c r="R44" s="65"/>
      <c r="S44" s="64" t="s">
        <v>235</v>
      </c>
      <c r="T44" s="105" t="s">
        <v>263</v>
      </c>
      <c r="U44" s="105" t="s">
        <v>218</v>
      </c>
      <c r="V44" s="34"/>
      <c r="W44" s="46"/>
      <c r="X44" s="38"/>
      <c r="Y44" s="38"/>
      <c r="Z44" s="38"/>
      <c r="AA44" s="38"/>
      <c r="AB44" s="38"/>
      <c r="AC44" s="39"/>
      <c r="AD44" s="40"/>
      <c r="AE44" s="40"/>
      <c r="AF44" s="42"/>
      <c r="AG44" s="40"/>
      <c r="AH44" s="36"/>
      <c r="AI44" s="36"/>
      <c r="AJ44" s="36"/>
    </row>
    <row r="45" spans="1:36" ht="165.75" hidden="1" customHeight="1" x14ac:dyDescent="0.25">
      <c r="A45" s="388"/>
      <c r="B45" s="385"/>
      <c r="C45" s="45" t="s">
        <v>268</v>
      </c>
      <c r="D45" s="61">
        <v>40909</v>
      </c>
      <c r="E45" s="61">
        <v>44896</v>
      </c>
      <c r="F45" s="43" t="s">
        <v>212</v>
      </c>
      <c r="G45" s="43" t="s">
        <v>54</v>
      </c>
      <c r="H45" s="116"/>
      <c r="I45" s="114"/>
      <c r="J45" s="63" t="s">
        <v>269</v>
      </c>
      <c r="K45" s="64" t="s">
        <v>270</v>
      </c>
      <c r="L45" s="64" t="s">
        <v>215</v>
      </c>
      <c r="M45" s="65">
        <v>0.4</v>
      </c>
      <c r="N45" s="66"/>
      <c r="O45" s="66"/>
      <c r="P45" s="88">
        <v>1</v>
      </c>
      <c r="Q45" s="65"/>
      <c r="R45" s="65"/>
      <c r="S45" s="64" t="s">
        <v>235</v>
      </c>
      <c r="T45" s="105" t="s">
        <v>263</v>
      </c>
      <c r="U45" s="105" t="s">
        <v>218</v>
      </c>
      <c r="V45" s="34"/>
      <c r="W45" s="46"/>
      <c r="X45" s="38"/>
      <c r="Y45" s="38"/>
      <c r="Z45" s="38"/>
      <c r="AA45" s="38"/>
      <c r="AB45" s="90" t="s">
        <v>271</v>
      </c>
      <c r="AC45" s="34" t="s">
        <v>84</v>
      </c>
      <c r="AD45" s="40"/>
      <c r="AE45" s="40"/>
      <c r="AF45" s="42"/>
      <c r="AG45" s="40"/>
      <c r="AH45" s="36"/>
      <c r="AI45" s="36"/>
      <c r="AJ45" s="36"/>
    </row>
    <row r="46" spans="1:36" ht="163.5" customHeight="1" x14ac:dyDescent="0.25">
      <c r="A46" s="388"/>
      <c r="B46" s="385"/>
      <c r="C46" s="45" t="s">
        <v>272</v>
      </c>
      <c r="D46" s="61">
        <v>40909</v>
      </c>
      <c r="E46" s="61">
        <v>44896</v>
      </c>
      <c r="F46" s="43" t="s">
        <v>212</v>
      </c>
      <c r="G46" s="43" t="s">
        <v>54</v>
      </c>
      <c r="H46" s="116"/>
      <c r="I46" s="114"/>
      <c r="J46" s="117"/>
      <c r="K46" s="64" t="s">
        <v>273</v>
      </c>
      <c r="L46" s="64" t="s">
        <v>108</v>
      </c>
      <c r="M46" s="65">
        <v>0.6</v>
      </c>
      <c r="N46" s="66"/>
      <c r="O46" s="66"/>
      <c r="P46" s="65">
        <v>7.0000000000000007E-2</v>
      </c>
      <c r="Q46" s="89">
        <v>0.46</v>
      </c>
      <c r="R46" s="79">
        <v>0.47</v>
      </c>
      <c r="S46" s="64" t="s">
        <v>235</v>
      </c>
      <c r="T46" s="105" t="s">
        <v>263</v>
      </c>
      <c r="U46" s="105" t="s">
        <v>218</v>
      </c>
      <c r="V46" s="34"/>
      <c r="W46" s="46"/>
      <c r="X46" s="38"/>
      <c r="Y46" s="38"/>
      <c r="Z46" s="38"/>
      <c r="AA46" s="38"/>
      <c r="AB46" s="38"/>
      <c r="AC46" s="39"/>
      <c r="AD46" s="40"/>
      <c r="AE46" s="118" t="s">
        <v>274</v>
      </c>
      <c r="AF46" s="35">
        <v>1</v>
      </c>
      <c r="AG46" s="40"/>
      <c r="AH46" s="60" t="s">
        <v>275</v>
      </c>
      <c r="AI46" s="36"/>
      <c r="AJ46" s="36"/>
    </row>
    <row r="47" spans="1:36" ht="198" hidden="1" customHeight="1" x14ac:dyDescent="0.25">
      <c r="A47" s="388"/>
      <c r="B47" s="386"/>
      <c r="C47" s="384" t="s">
        <v>276</v>
      </c>
      <c r="D47" s="61">
        <v>40909</v>
      </c>
      <c r="E47" s="61">
        <v>44896</v>
      </c>
      <c r="F47" s="43" t="s">
        <v>212</v>
      </c>
      <c r="G47" s="43" t="s">
        <v>54</v>
      </c>
      <c r="H47" s="116"/>
      <c r="I47" s="114"/>
      <c r="J47" s="63" t="s">
        <v>277</v>
      </c>
      <c r="K47" s="64" t="s">
        <v>278</v>
      </c>
      <c r="L47" s="64" t="s">
        <v>279</v>
      </c>
      <c r="M47" s="65">
        <v>0.4</v>
      </c>
      <c r="N47" s="47"/>
      <c r="O47" s="65"/>
      <c r="P47" s="53">
        <v>1</v>
      </c>
      <c r="Q47" s="46"/>
      <c r="R47" s="46"/>
      <c r="S47" s="64" t="s">
        <v>235</v>
      </c>
      <c r="T47" s="105" t="s">
        <v>263</v>
      </c>
      <c r="U47" s="105" t="s">
        <v>218</v>
      </c>
      <c r="V47" s="34"/>
      <c r="W47" s="46"/>
      <c r="X47" s="38"/>
      <c r="Y47" s="36" t="s">
        <v>280</v>
      </c>
      <c r="Z47" s="38"/>
      <c r="AA47" s="38"/>
      <c r="AB47" s="118" t="s">
        <v>281</v>
      </c>
      <c r="AC47" s="34" t="s">
        <v>84</v>
      </c>
      <c r="AD47" s="40"/>
      <c r="AE47" s="40"/>
      <c r="AF47" s="42"/>
      <c r="AG47" s="40"/>
      <c r="AH47" s="36"/>
      <c r="AI47" s="36"/>
      <c r="AJ47" s="36"/>
    </row>
    <row r="48" spans="1:36" ht="137.25" hidden="1" customHeight="1" x14ac:dyDescent="0.25">
      <c r="A48" s="388"/>
      <c r="B48" s="119"/>
      <c r="C48" s="386"/>
      <c r="D48" s="114"/>
      <c r="E48" s="114"/>
      <c r="F48" s="114"/>
      <c r="G48" s="43" t="s">
        <v>54</v>
      </c>
      <c r="H48" s="116"/>
      <c r="I48" s="114"/>
      <c r="J48" s="117"/>
      <c r="K48" s="64" t="s">
        <v>282</v>
      </c>
      <c r="L48" s="64" t="s">
        <v>108</v>
      </c>
      <c r="M48" s="65">
        <v>0.6</v>
      </c>
      <c r="N48" s="47"/>
      <c r="O48" s="47"/>
      <c r="P48" s="65"/>
      <c r="Q48" s="65"/>
      <c r="R48" s="79">
        <v>1</v>
      </c>
      <c r="S48" s="64" t="s">
        <v>235</v>
      </c>
      <c r="T48" s="105" t="s">
        <v>263</v>
      </c>
      <c r="U48" s="105" t="s">
        <v>218</v>
      </c>
      <c r="V48" s="34"/>
      <c r="W48" s="46"/>
      <c r="X48" s="38"/>
      <c r="Y48" s="38"/>
      <c r="Z48" s="38"/>
      <c r="AA48" s="38"/>
      <c r="AB48" s="38" t="s">
        <v>67</v>
      </c>
      <c r="AC48" s="39"/>
      <c r="AD48" s="40"/>
      <c r="AE48" s="9" t="s">
        <v>283</v>
      </c>
      <c r="AF48" s="42"/>
      <c r="AG48" s="40"/>
      <c r="AH48" s="36" t="s">
        <v>284</v>
      </c>
      <c r="AI48" s="36"/>
      <c r="AJ48" s="36"/>
    </row>
    <row r="49" spans="1:36" ht="281.25" customHeight="1" x14ac:dyDescent="0.25">
      <c r="A49" s="388"/>
      <c r="B49" s="384" t="s">
        <v>285</v>
      </c>
      <c r="C49" s="45" t="s">
        <v>286</v>
      </c>
      <c r="D49" s="61">
        <v>40909</v>
      </c>
      <c r="E49" s="61">
        <v>44896</v>
      </c>
      <c r="F49" s="43" t="s">
        <v>212</v>
      </c>
      <c r="G49" s="43" t="s">
        <v>54</v>
      </c>
      <c r="H49" s="45" t="s">
        <v>287</v>
      </c>
      <c r="I49" s="45" t="s">
        <v>288</v>
      </c>
      <c r="J49" s="49" t="s">
        <v>289</v>
      </c>
      <c r="K49" s="45" t="s">
        <v>290</v>
      </c>
      <c r="L49" s="45" t="s">
        <v>291</v>
      </c>
      <c r="M49" s="46">
        <v>1</v>
      </c>
      <c r="N49" s="51">
        <v>0.2</v>
      </c>
      <c r="O49" s="52">
        <v>0.2</v>
      </c>
      <c r="P49" s="53">
        <v>0.2</v>
      </c>
      <c r="Q49" s="54">
        <v>0.2</v>
      </c>
      <c r="R49" s="55">
        <v>0.2</v>
      </c>
      <c r="S49" s="45" t="s">
        <v>292</v>
      </c>
      <c r="T49" s="120"/>
      <c r="U49" s="120"/>
      <c r="V49" s="34" t="s">
        <v>293</v>
      </c>
      <c r="W49" s="46">
        <v>1</v>
      </c>
      <c r="X49" s="38"/>
      <c r="Y49" s="36" t="s">
        <v>294</v>
      </c>
      <c r="Z49" s="107">
        <v>1</v>
      </c>
      <c r="AA49" s="38"/>
      <c r="AB49" s="90" t="s">
        <v>293</v>
      </c>
      <c r="AC49" s="34" t="s">
        <v>84</v>
      </c>
      <c r="AD49" s="40"/>
      <c r="AE49" s="90" t="s">
        <v>294</v>
      </c>
      <c r="AF49" s="35">
        <v>1</v>
      </c>
      <c r="AG49" s="40"/>
      <c r="AH49" s="36" t="s">
        <v>295</v>
      </c>
      <c r="AI49" s="36"/>
      <c r="AJ49" s="36"/>
    </row>
    <row r="50" spans="1:36" ht="137.25" hidden="1" customHeight="1" x14ac:dyDescent="0.25">
      <c r="A50" s="389"/>
      <c r="B50" s="386"/>
      <c r="C50" s="45" t="s">
        <v>296</v>
      </c>
      <c r="D50" s="61">
        <v>40909</v>
      </c>
      <c r="E50" s="61">
        <v>44896</v>
      </c>
      <c r="F50" s="43"/>
      <c r="G50" s="43" t="s">
        <v>54</v>
      </c>
      <c r="H50" s="45"/>
      <c r="I50" s="45"/>
      <c r="J50" s="63" t="s">
        <v>297</v>
      </c>
      <c r="K50" s="64" t="s">
        <v>298</v>
      </c>
      <c r="L50" s="64" t="s">
        <v>223</v>
      </c>
      <c r="M50" s="65">
        <v>1</v>
      </c>
      <c r="N50" s="83"/>
      <c r="O50" s="52">
        <v>1</v>
      </c>
      <c r="P50" s="46"/>
      <c r="Q50" s="46"/>
      <c r="R50" s="46"/>
      <c r="S50" s="64" t="s">
        <v>292</v>
      </c>
      <c r="T50" s="56" t="s">
        <v>299</v>
      </c>
      <c r="U50" s="36" t="s">
        <v>300</v>
      </c>
      <c r="V50" s="40"/>
      <c r="W50" s="35"/>
      <c r="X50" s="40"/>
      <c r="Y50" s="36" t="s">
        <v>301</v>
      </c>
      <c r="Z50" s="107">
        <v>1</v>
      </c>
      <c r="AA50" s="38"/>
      <c r="AB50" s="90" t="s">
        <v>293</v>
      </c>
      <c r="AC50" s="39"/>
      <c r="AD50" s="40"/>
      <c r="AE50" s="90" t="s">
        <v>294</v>
      </c>
      <c r="AF50" s="42"/>
      <c r="AG50" s="40"/>
    </row>
    <row r="51" spans="1:36" x14ac:dyDescent="0.25">
      <c r="V51" s="87"/>
      <c r="W51" s="87"/>
      <c r="X51" s="87"/>
      <c r="Y51" s="87"/>
      <c r="Z51" s="87"/>
      <c r="AA51" s="87"/>
      <c r="AB51" s="87"/>
    </row>
    <row r="52" spans="1:36" x14ac:dyDescent="0.25">
      <c r="V52" s="87"/>
      <c r="W52" s="87"/>
      <c r="X52" s="87"/>
      <c r="Y52" s="87"/>
      <c r="Z52" s="87"/>
      <c r="AA52" s="87"/>
      <c r="AB52" s="87"/>
    </row>
    <row r="53" spans="1:36" x14ac:dyDescent="0.25">
      <c r="V53" s="87"/>
      <c r="W53" s="87"/>
      <c r="X53" s="87"/>
      <c r="Y53" s="87"/>
      <c r="Z53" s="87"/>
      <c r="AA53" s="87"/>
      <c r="AB53" s="87"/>
    </row>
    <row r="54" spans="1:36" x14ac:dyDescent="0.25">
      <c r="V54" s="87"/>
      <c r="W54" s="87"/>
      <c r="X54" s="87"/>
      <c r="Y54" s="87"/>
      <c r="Z54" s="87"/>
      <c r="AA54" s="87"/>
      <c r="AB54" s="87"/>
    </row>
    <row r="55" spans="1:36" x14ac:dyDescent="0.25">
      <c r="V55" s="87"/>
      <c r="W55" s="87"/>
      <c r="X55" s="87"/>
      <c r="Y55" s="87"/>
      <c r="Z55" s="87"/>
      <c r="AA55" s="87"/>
      <c r="AB55" s="87"/>
    </row>
    <row r="56" spans="1:36" x14ac:dyDescent="0.25">
      <c r="V56" s="87"/>
      <c r="W56" s="87"/>
      <c r="X56" s="87"/>
      <c r="Y56" s="87"/>
      <c r="Z56" s="87"/>
      <c r="AA56" s="87"/>
      <c r="AB56" s="87"/>
    </row>
    <row r="57" spans="1:36" x14ac:dyDescent="0.25">
      <c r="V57" s="87"/>
      <c r="W57" s="87"/>
      <c r="X57" s="87"/>
      <c r="Y57" s="87"/>
      <c r="Z57" s="87"/>
      <c r="AA57" s="87"/>
      <c r="AB57" s="87"/>
    </row>
    <row r="58" spans="1:36" x14ac:dyDescent="0.25">
      <c r="A58" s="87"/>
      <c r="B58" s="87"/>
      <c r="C58" s="87"/>
      <c r="D58" s="87"/>
      <c r="E58" s="87"/>
      <c r="F58" s="87"/>
      <c r="G58" s="87"/>
      <c r="H58" s="87"/>
      <c r="I58" s="87"/>
      <c r="J58" s="87"/>
      <c r="K58" s="87"/>
      <c r="L58" s="87"/>
      <c r="M58" s="87"/>
      <c r="N58" s="87"/>
      <c r="O58" s="87"/>
      <c r="P58" s="87"/>
      <c r="Q58" s="87"/>
      <c r="R58" s="87"/>
      <c r="S58" s="87"/>
      <c r="V58" s="87"/>
      <c r="W58" s="87"/>
      <c r="X58" s="87"/>
      <c r="Y58" s="87"/>
      <c r="Z58" s="87"/>
      <c r="AA58" s="87"/>
      <c r="AB58" s="87"/>
    </row>
    <row r="59" spans="1:36" x14ac:dyDescent="0.25">
      <c r="A59" s="87"/>
      <c r="B59" s="87"/>
      <c r="C59" s="87"/>
      <c r="D59" s="87"/>
      <c r="E59" s="87"/>
      <c r="F59" s="87"/>
      <c r="G59" s="87"/>
      <c r="H59" s="87"/>
      <c r="I59" s="87"/>
      <c r="J59" s="87"/>
      <c r="K59" s="87"/>
      <c r="L59" s="87"/>
      <c r="M59" s="87"/>
      <c r="N59" s="87"/>
      <c r="O59" s="87"/>
      <c r="P59" s="87"/>
      <c r="Q59" s="87"/>
      <c r="R59" s="87"/>
      <c r="S59" s="87"/>
      <c r="V59" s="87"/>
      <c r="W59" s="87"/>
      <c r="X59" s="87"/>
      <c r="Y59" s="87"/>
      <c r="Z59" s="87"/>
      <c r="AA59" s="87"/>
      <c r="AB59" s="87"/>
    </row>
    <row r="60" spans="1:36" x14ac:dyDescent="0.25">
      <c r="A60" s="87"/>
      <c r="B60" s="87"/>
      <c r="C60" s="87"/>
      <c r="D60" s="87"/>
      <c r="E60" s="87"/>
      <c r="F60" s="87"/>
      <c r="G60" s="87"/>
      <c r="H60" s="87"/>
      <c r="I60" s="87"/>
      <c r="J60" s="87"/>
      <c r="K60" s="87"/>
      <c r="L60" s="87"/>
      <c r="M60" s="87"/>
      <c r="N60" s="87"/>
      <c r="O60" s="87"/>
      <c r="P60" s="87"/>
      <c r="Q60" s="87"/>
      <c r="R60" s="87"/>
      <c r="S60" s="87"/>
      <c r="V60" s="87"/>
      <c r="W60" s="87"/>
      <c r="X60" s="87"/>
      <c r="Y60" s="87"/>
      <c r="Z60" s="87"/>
      <c r="AA60" s="87"/>
      <c r="AB60" s="87"/>
    </row>
    <row r="61" spans="1:36" x14ac:dyDescent="0.25">
      <c r="A61" s="87"/>
      <c r="B61" s="87"/>
      <c r="C61" s="87"/>
      <c r="D61" s="87"/>
      <c r="E61" s="87"/>
      <c r="F61" s="87"/>
      <c r="G61" s="87"/>
      <c r="H61" s="87"/>
      <c r="I61" s="87"/>
      <c r="J61" s="87"/>
      <c r="K61" s="87"/>
      <c r="L61" s="87"/>
      <c r="M61" s="87"/>
      <c r="N61" s="87"/>
      <c r="O61" s="87"/>
      <c r="P61" s="87"/>
      <c r="Q61" s="87"/>
      <c r="R61" s="87"/>
      <c r="S61" s="87"/>
      <c r="V61" s="87"/>
      <c r="W61" s="87"/>
      <c r="X61" s="87"/>
      <c r="Y61" s="87"/>
      <c r="Z61" s="87"/>
      <c r="AA61" s="87"/>
      <c r="AB61" s="87"/>
    </row>
    <row r="62" spans="1:36" x14ac:dyDescent="0.25">
      <c r="A62" s="87"/>
      <c r="B62" s="87"/>
      <c r="C62" s="87"/>
      <c r="D62" s="87"/>
      <c r="E62" s="87"/>
      <c r="F62" s="87"/>
      <c r="G62" s="87"/>
      <c r="H62" s="87"/>
      <c r="I62" s="87"/>
      <c r="J62" s="87"/>
      <c r="K62" s="87"/>
      <c r="L62" s="87"/>
      <c r="M62" s="87"/>
      <c r="N62" s="87"/>
      <c r="O62" s="87"/>
      <c r="P62" s="87"/>
      <c r="Q62" s="87"/>
      <c r="R62" s="87"/>
      <c r="S62" s="87"/>
      <c r="V62" s="87"/>
      <c r="W62" s="87"/>
      <c r="X62" s="87"/>
      <c r="Y62" s="87"/>
      <c r="Z62" s="87"/>
      <c r="AA62" s="87"/>
      <c r="AB62" s="87"/>
    </row>
    <row r="63" spans="1:36" x14ac:dyDescent="0.25">
      <c r="A63" s="87"/>
      <c r="B63" s="87"/>
      <c r="C63" s="87"/>
      <c r="D63" s="87"/>
      <c r="E63" s="87"/>
      <c r="F63" s="87"/>
      <c r="G63" s="87"/>
      <c r="H63" s="87"/>
      <c r="I63" s="87"/>
      <c r="J63" s="87"/>
      <c r="K63" s="87"/>
      <c r="L63" s="87"/>
      <c r="M63" s="87"/>
      <c r="N63" s="87"/>
      <c r="O63" s="87"/>
      <c r="P63" s="87"/>
      <c r="Q63" s="87"/>
      <c r="R63" s="87"/>
      <c r="S63" s="87"/>
      <c r="V63" s="87"/>
      <c r="W63" s="87"/>
      <c r="X63" s="87"/>
      <c r="Y63" s="87"/>
      <c r="Z63" s="87"/>
      <c r="AA63" s="87"/>
      <c r="AB63" s="87"/>
    </row>
    <row r="64" spans="1:36" x14ac:dyDescent="0.25">
      <c r="A64" s="87"/>
      <c r="B64" s="87"/>
      <c r="C64" s="87"/>
      <c r="D64" s="87"/>
      <c r="E64" s="87"/>
      <c r="F64" s="87"/>
      <c r="G64" s="87"/>
      <c r="H64" s="87"/>
      <c r="I64" s="87"/>
      <c r="J64" s="87"/>
      <c r="K64" s="87"/>
      <c r="L64" s="87"/>
      <c r="M64" s="87"/>
      <c r="N64" s="87"/>
      <c r="O64" s="87"/>
      <c r="P64" s="87"/>
      <c r="Q64" s="87"/>
      <c r="R64" s="87"/>
      <c r="S64" s="87"/>
      <c r="V64" s="87"/>
      <c r="W64" s="87"/>
      <c r="X64" s="87"/>
      <c r="Y64" s="87"/>
      <c r="Z64" s="87"/>
      <c r="AA64" s="87"/>
      <c r="AB64" s="87"/>
    </row>
    <row r="65" spans="1:28" x14ac:dyDescent="0.25">
      <c r="A65" s="87"/>
      <c r="B65" s="87"/>
      <c r="C65" s="87"/>
      <c r="D65" s="87"/>
      <c r="E65" s="87"/>
      <c r="F65" s="87"/>
      <c r="G65" s="87"/>
      <c r="H65" s="87"/>
      <c r="I65" s="87"/>
      <c r="J65" s="87"/>
      <c r="K65" s="87"/>
      <c r="L65" s="87"/>
      <c r="M65" s="87"/>
      <c r="N65" s="87"/>
      <c r="O65" s="87"/>
      <c r="P65" s="87"/>
      <c r="Q65" s="87"/>
      <c r="R65" s="87"/>
      <c r="S65" s="87"/>
      <c r="V65" s="87"/>
      <c r="W65" s="87"/>
      <c r="X65" s="87"/>
      <c r="Y65" s="87"/>
      <c r="Z65" s="87"/>
      <c r="AA65" s="87"/>
      <c r="AB65" s="87"/>
    </row>
    <row r="66" spans="1:28" x14ac:dyDescent="0.25">
      <c r="A66" s="87"/>
      <c r="B66" s="87"/>
      <c r="C66" s="87"/>
      <c r="D66" s="87"/>
      <c r="E66" s="87"/>
      <c r="F66" s="87"/>
      <c r="G66" s="87"/>
      <c r="H66" s="87"/>
      <c r="I66" s="87"/>
      <c r="J66" s="87"/>
      <c r="K66" s="87"/>
      <c r="L66" s="87"/>
      <c r="M66" s="87"/>
      <c r="N66" s="87"/>
      <c r="O66" s="87"/>
      <c r="P66" s="87"/>
      <c r="Q66" s="87"/>
      <c r="R66" s="87"/>
      <c r="S66" s="87"/>
      <c r="V66" s="87"/>
      <c r="W66" s="87"/>
      <c r="X66" s="87"/>
      <c r="Y66" s="87"/>
      <c r="Z66" s="87"/>
      <c r="AA66" s="87"/>
      <c r="AB66" s="87"/>
    </row>
    <row r="67" spans="1:28" x14ac:dyDescent="0.25">
      <c r="A67" s="87"/>
      <c r="B67" s="87"/>
      <c r="C67" s="87"/>
      <c r="D67" s="87"/>
      <c r="E67" s="87"/>
      <c r="F67" s="87"/>
      <c r="G67" s="87"/>
      <c r="H67" s="87"/>
      <c r="I67" s="87"/>
      <c r="J67" s="87"/>
      <c r="K67" s="87"/>
      <c r="L67" s="87"/>
      <c r="M67" s="87"/>
      <c r="N67" s="87"/>
      <c r="O67" s="87"/>
      <c r="P67" s="87"/>
      <c r="Q67" s="87"/>
      <c r="R67" s="87"/>
      <c r="S67" s="87"/>
      <c r="V67" s="87"/>
      <c r="W67" s="87"/>
      <c r="X67" s="87"/>
      <c r="Y67" s="87"/>
      <c r="Z67" s="87"/>
      <c r="AA67" s="87"/>
      <c r="AB67" s="87"/>
    </row>
    <row r="68" spans="1:28" x14ac:dyDescent="0.25">
      <c r="V68" s="87"/>
      <c r="W68" s="87"/>
      <c r="X68" s="87"/>
      <c r="Y68" s="87"/>
      <c r="Z68" s="87"/>
      <c r="AA68" s="87"/>
      <c r="AB68" s="87"/>
    </row>
    <row r="69" spans="1:28" x14ac:dyDescent="0.25">
      <c r="V69" s="87"/>
      <c r="W69" s="87"/>
      <c r="X69" s="87"/>
      <c r="Y69" s="87"/>
      <c r="Z69" s="87"/>
      <c r="AA69" s="87"/>
      <c r="AB69" s="87"/>
    </row>
    <row r="70" spans="1:28" x14ac:dyDescent="0.25">
      <c r="V70" s="87"/>
      <c r="W70" s="87"/>
      <c r="X70" s="87"/>
      <c r="Y70" s="87"/>
      <c r="Z70" s="87"/>
      <c r="AA70" s="87"/>
      <c r="AB70" s="87"/>
    </row>
    <row r="71" spans="1:28" x14ac:dyDescent="0.25">
      <c r="V71" s="87"/>
      <c r="W71" s="87"/>
      <c r="X71" s="87"/>
      <c r="Y71" s="87"/>
      <c r="Z71" s="87"/>
      <c r="AA71" s="87"/>
      <c r="AB71" s="87"/>
    </row>
    <row r="72" spans="1:28" x14ac:dyDescent="0.25">
      <c r="V72" s="87"/>
      <c r="W72" s="87"/>
      <c r="X72" s="87"/>
      <c r="Y72" s="87"/>
      <c r="Z72" s="87"/>
      <c r="AA72" s="87"/>
      <c r="AB72" s="87"/>
    </row>
    <row r="73" spans="1:28" x14ac:dyDescent="0.25">
      <c r="V73" s="87"/>
      <c r="W73" s="87"/>
      <c r="X73" s="87"/>
      <c r="Y73" s="87"/>
      <c r="Z73" s="87"/>
      <c r="AA73" s="87"/>
      <c r="AB73" s="87"/>
    </row>
    <row r="74" spans="1:28" x14ac:dyDescent="0.25">
      <c r="V74" s="87"/>
      <c r="W74" s="87"/>
      <c r="X74" s="87"/>
      <c r="Y74" s="87"/>
      <c r="Z74" s="87"/>
      <c r="AA74" s="87"/>
      <c r="AB74" s="87"/>
    </row>
    <row r="75" spans="1:28" x14ac:dyDescent="0.25">
      <c r="V75" s="87"/>
      <c r="W75" s="87"/>
      <c r="X75" s="87"/>
      <c r="Y75" s="87"/>
      <c r="Z75" s="87"/>
      <c r="AA75" s="87"/>
      <c r="AB75" s="87"/>
    </row>
    <row r="76" spans="1:28" x14ac:dyDescent="0.25">
      <c r="V76" s="87"/>
      <c r="W76" s="87"/>
      <c r="X76" s="87"/>
      <c r="Y76" s="87"/>
      <c r="Z76" s="87"/>
      <c r="AA76" s="87"/>
      <c r="AB76" s="87"/>
    </row>
    <row r="77" spans="1:28" x14ac:dyDescent="0.25">
      <c r="V77" s="87"/>
      <c r="W77" s="87"/>
      <c r="X77" s="87"/>
      <c r="Y77" s="87"/>
      <c r="Z77" s="87"/>
      <c r="AA77" s="87"/>
      <c r="AB77" s="87"/>
    </row>
    <row r="78" spans="1:28" x14ac:dyDescent="0.25">
      <c r="V78" s="87"/>
      <c r="W78" s="87"/>
      <c r="X78" s="87"/>
      <c r="Y78" s="87"/>
      <c r="Z78" s="87"/>
      <c r="AA78" s="87"/>
      <c r="AB78" s="87"/>
    </row>
    <row r="79" spans="1:28" x14ac:dyDescent="0.25">
      <c r="V79" s="87"/>
      <c r="W79" s="87"/>
      <c r="X79" s="87"/>
      <c r="Y79" s="87"/>
      <c r="Z79" s="87"/>
      <c r="AA79" s="87"/>
      <c r="AB79" s="87"/>
    </row>
    <row r="80" spans="1:28" x14ac:dyDescent="0.25">
      <c r="V80" s="87"/>
      <c r="W80" s="87"/>
      <c r="X80" s="87"/>
      <c r="Y80" s="87"/>
      <c r="Z80" s="87"/>
      <c r="AA80" s="87"/>
      <c r="AB80" s="87"/>
    </row>
    <row r="81" spans="22:28" x14ac:dyDescent="0.25">
      <c r="V81" s="87"/>
      <c r="W81" s="87"/>
      <c r="X81" s="87"/>
      <c r="Y81" s="87"/>
      <c r="Z81" s="87"/>
      <c r="AA81" s="87"/>
      <c r="AB81" s="87"/>
    </row>
    <row r="82" spans="22:28" x14ac:dyDescent="0.25">
      <c r="V82" s="87"/>
      <c r="W82" s="87"/>
      <c r="X82" s="87"/>
      <c r="Y82" s="87"/>
      <c r="Z82" s="87"/>
      <c r="AA82" s="87"/>
      <c r="AB82" s="87"/>
    </row>
    <row r="83" spans="22:28" x14ac:dyDescent="0.25">
      <c r="V83" s="87"/>
      <c r="W83" s="87"/>
      <c r="X83" s="87"/>
      <c r="Y83" s="87"/>
      <c r="Z83" s="87"/>
      <c r="AA83" s="87"/>
      <c r="AB83" s="87"/>
    </row>
    <row r="84" spans="22:28" x14ac:dyDescent="0.25">
      <c r="V84" s="87"/>
      <c r="W84" s="87"/>
      <c r="X84" s="87"/>
      <c r="Y84" s="87"/>
      <c r="Z84" s="87"/>
      <c r="AA84" s="87"/>
      <c r="AB84" s="87"/>
    </row>
    <row r="85" spans="22:28" x14ac:dyDescent="0.25">
      <c r="V85" s="87"/>
      <c r="W85" s="87"/>
      <c r="X85" s="87"/>
      <c r="Y85" s="87"/>
      <c r="Z85" s="87"/>
      <c r="AA85" s="87"/>
      <c r="AB85" s="87"/>
    </row>
    <row r="86" spans="22:28" x14ac:dyDescent="0.25">
      <c r="V86" s="87"/>
      <c r="W86" s="87"/>
      <c r="X86" s="87"/>
      <c r="Y86" s="87"/>
      <c r="Z86" s="87"/>
      <c r="AA86" s="87"/>
      <c r="AB86" s="87"/>
    </row>
    <row r="87" spans="22:28" x14ac:dyDescent="0.25">
      <c r="V87" s="87"/>
      <c r="W87" s="87"/>
      <c r="X87" s="87"/>
      <c r="Y87" s="87"/>
      <c r="Z87" s="87"/>
      <c r="AA87" s="87"/>
      <c r="AB87" s="87"/>
    </row>
    <row r="88" spans="22:28" x14ac:dyDescent="0.25">
      <c r="V88" s="87"/>
      <c r="W88" s="87"/>
      <c r="X88" s="87"/>
      <c r="Y88" s="87"/>
      <c r="Z88" s="87"/>
      <c r="AA88" s="87"/>
      <c r="AB88" s="87"/>
    </row>
    <row r="89" spans="22:28" x14ac:dyDescent="0.25">
      <c r="V89" s="87"/>
      <c r="W89" s="87"/>
      <c r="X89" s="87"/>
      <c r="Y89" s="87"/>
      <c r="Z89" s="87"/>
      <c r="AA89" s="87"/>
      <c r="AB89" s="87"/>
    </row>
    <row r="90" spans="22:28" x14ac:dyDescent="0.25">
      <c r="V90" s="87"/>
      <c r="W90" s="87"/>
      <c r="X90" s="87"/>
      <c r="Y90" s="87"/>
      <c r="Z90" s="87"/>
      <c r="AA90" s="87"/>
      <c r="AB90" s="87"/>
    </row>
    <row r="91" spans="22:28" x14ac:dyDescent="0.25">
      <c r="V91" s="87"/>
      <c r="W91" s="87"/>
      <c r="X91" s="87"/>
      <c r="Y91" s="87"/>
      <c r="Z91" s="87"/>
      <c r="AA91" s="87"/>
      <c r="AB91" s="87"/>
    </row>
  </sheetData>
  <protectedRanges>
    <protectedRange sqref="V11" name="Rango1_4"/>
    <protectedRange sqref="Y31" name="Rango1_4_1_3"/>
    <protectedRange sqref="Y32" name="Rango1_4_2_3"/>
    <protectedRange sqref="Y35" name="Rango1_4_3_3"/>
    <protectedRange sqref="Y40" name="Rango1_4_4_3"/>
    <protectedRange sqref="Y43" name="Rango1_4_1"/>
    <protectedRange sqref="Y20" name="Rango1_4_2"/>
    <protectedRange sqref="AB17" name="Rango1_4_3"/>
    <protectedRange sqref="AB21" name="Rango1_4_4"/>
    <protectedRange sqref="AB31" name="Rango1_4_5"/>
    <protectedRange sqref="AB32" name="Rango1_4_6"/>
    <protectedRange sqref="AB35" name="Rango1_4_7"/>
    <protectedRange sqref="AB47" name="Rango1_4_8"/>
    <protectedRange sqref="AB16" name="Rango1_4_9"/>
    <protectedRange sqref="AB39:AB40" name="Rango1_4_10"/>
    <protectedRange sqref="AB41" name="Rango1_4_11"/>
    <protectedRange sqref="AB42" name="Rango1_4_12"/>
    <protectedRange sqref="AB45" name="Rango1_4_13"/>
    <protectedRange sqref="AB49" name="Rango1_4_14"/>
    <protectedRange sqref="AB28" name="Rango1_4_15"/>
    <protectedRange sqref="AB23" name="Rango1_4_16"/>
    <protectedRange sqref="Y38" name="Rango1_4_17"/>
    <protectedRange sqref="AE28" name="Rango1_4_18"/>
    <protectedRange sqref="AE29" name="Rango1_4_19"/>
    <protectedRange sqref="AE14:AE15" name="Rango1_4_20"/>
    <protectedRange sqref="AE11" name="Rango1_4_21"/>
    <protectedRange sqref="AE16" name="Rango1_4_2_1"/>
    <protectedRange sqref="AE31:AE32" name="Rango1_4_22"/>
    <protectedRange sqref="AE35" name="Rango1_4_23"/>
    <protectedRange sqref="AE41" name="Rango1_4_24"/>
    <protectedRange sqref="AE46" name="Rango1_4_25"/>
    <protectedRange sqref="AB29" name="Rango1_4_26"/>
    <protectedRange sqref="AB50" name="Rango1_4_27"/>
    <protectedRange sqref="AH16" name="Rango1_4_28"/>
    <protectedRange sqref="AH14" name="Rango1_4_29"/>
    <protectedRange sqref="AH31" name="Rango1_4_30"/>
    <protectedRange sqref="AH32" name="Rango1_4_31"/>
    <protectedRange sqref="AH35" name="Rango1_4_32"/>
    <protectedRange sqref="AH46" name="Rango1_4_33"/>
  </protectedRanges>
  <mergeCells count="69">
    <mergeCell ref="AH7:AJ7"/>
    <mergeCell ref="AE8:AG8"/>
    <mergeCell ref="V7:X7"/>
    <mergeCell ref="Y7:AA7"/>
    <mergeCell ref="AB7:AD7"/>
    <mergeCell ref="AE7:AG7"/>
    <mergeCell ref="U9:U10"/>
    <mergeCell ref="AH8:AJ8"/>
    <mergeCell ref="A9:A10"/>
    <mergeCell ref="B9:B10"/>
    <mergeCell ref="C9:C10"/>
    <mergeCell ref="D9:E9"/>
    <mergeCell ref="F9:F10"/>
    <mergeCell ref="G9:G10"/>
    <mergeCell ref="H9:H10"/>
    <mergeCell ref="I9:I10"/>
    <mergeCell ref="J9:J10"/>
    <mergeCell ref="A8:F8"/>
    <mergeCell ref="G8:U8"/>
    <mergeCell ref="V8:X8"/>
    <mergeCell ref="Y8:AA8"/>
    <mergeCell ref="AB8:AD8"/>
    <mergeCell ref="K9:K10"/>
    <mergeCell ref="L9:L10"/>
    <mergeCell ref="M9:M10"/>
    <mergeCell ref="S9:S10"/>
    <mergeCell ref="T9:T10"/>
    <mergeCell ref="W9:W10"/>
    <mergeCell ref="X9:X10"/>
    <mergeCell ref="Z9:Z10"/>
    <mergeCell ref="AA9:AA10"/>
    <mergeCell ref="AB9:AB10"/>
    <mergeCell ref="AI9:AI10"/>
    <mergeCell ref="AJ9:AJ10"/>
    <mergeCell ref="A11:A19"/>
    <mergeCell ref="B11:B13"/>
    <mergeCell ref="C11:C13"/>
    <mergeCell ref="F11:F13"/>
    <mergeCell ref="H11:H14"/>
    <mergeCell ref="I11:I14"/>
    <mergeCell ref="U14:U15"/>
    <mergeCell ref="AC9:AC10"/>
    <mergeCell ref="AD9:AD10"/>
    <mergeCell ref="AE9:AE10"/>
    <mergeCell ref="AF9:AF10"/>
    <mergeCell ref="AG9:AG10"/>
    <mergeCell ref="AH9:AH10"/>
    <mergeCell ref="V9:V10"/>
    <mergeCell ref="A22:A29"/>
    <mergeCell ref="B22:B29"/>
    <mergeCell ref="A31:A50"/>
    <mergeCell ref="B31:B35"/>
    <mergeCell ref="C31:C35"/>
    <mergeCell ref="B36:B39"/>
    <mergeCell ref="H31:H35"/>
    <mergeCell ref="I31:I35"/>
    <mergeCell ref="U31:U32"/>
    <mergeCell ref="J33:J35"/>
    <mergeCell ref="S33:S35"/>
    <mergeCell ref="T33:T35"/>
    <mergeCell ref="U33:U35"/>
    <mergeCell ref="G36:G41"/>
    <mergeCell ref="B43:B47"/>
    <mergeCell ref="C47:C48"/>
    <mergeCell ref="B49:B50"/>
    <mergeCell ref="E31:E35"/>
    <mergeCell ref="F31:F35"/>
    <mergeCell ref="G31:G35"/>
    <mergeCell ref="D31:D35"/>
  </mergeCells>
  <printOptions horizontalCentered="1" verticalCentered="1"/>
  <pageMargins left="0.70866141732283472" right="0.70866141732283472" top="0.74803149606299213" bottom="0.74803149606299213" header="0.31496062992125984" footer="0.31496062992125984"/>
  <pageSetup scale="45"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6"/>
  <sheetViews>
    <sheetView topLeftCell="G10" zoomScale="84" zoomScaleNormal="84" workbookViewId="0">
      <selection activeCell="H10" sqref="H10:H11"/>
    </sheetView>
  </sheetViews>
  <sheetFormatPr baseColWidth="10" defaultRowHeight="15" x14ac:dyDescent="0.25"/>
  <cols>
    <col min="1" max="1" width="23.140625" hidden="1" customWidth="1"/>
    <col min="2" max="2" width="25.85546875" hidden="1" customWidth="1"/>
    <col min="3" max="3" width="23.140625" hidden="1" customWidth="1"/>
    <col min="4" max="4" width="11.85546875" hidden="1" customWidth="1"/>
    <col min="5" max="5" width="9" hidden="1" customWidth="1"/>
    <col min="6" max="6" width="13.5703125" hidden="1" customWidth="1"/>
    <col min="7" max="7" width="15" customWidth="1"/>
    <col min="8" max="8" width="12.7109375" customWidth="1"/>
    <col min="9" max="9" width="19.28515625" customWidth="1"/>
    <col min="10" max="10" width="23.7109375" customWidth="1"/>
    <col min="11" max="11" width="21" customWidth="1"/>
    <col min="12" max="12" width="13" customWidth="1"/>
    <col min="13" max="13" width="10.28515625" customWidth="1"/>
    <col min="14" max="14" width="8.28515625" hidden="1" customWidth="1"/>
    <col min="15" max="15" width="9.85546875" hidden="1" customWidth="1"/>
    <col min="16" max="16" width="8.7109375" hidden="1" customWidth="1"/>
    <col min="17" max="17" width="9" customWidth="1"/>
    <col min="18" max="18" width="8.5703125" hidden="1" customWidth="1"/>
    <col min="19" max="19" width="20.85546875" customWidth="1"/>
    <col min="20" max="20" width="25" hidden="1" customWidth="1"/>
    <col min="21" max="22" width="20.85546875" hidden="1" customWidth="1"/>
    <col min="23" max="23" width="14.85546875" hidden="1" customWidth="1"/>
    <col min="24" max="24" width="25.7109375" hidden="1" customWidth="1"/>
    <col min="25" max="25" width="20.85546875" hidden="1" customWidth="1"/>
    <col min="26" max="26" width="19.140625" hidden="1" customWidth="1"/>
    <col min="27" max="27" width="18.42578125" hidden="1" customWidth="1"/>
    <col min="28" max="28" width="22.140625" hidden="1" customWidth="1"/>
    <col min="29" max="29" width="17.7109375" hidden="1" customWidth="1"/>
    <col min="30" max="30" width="20.5703125" hidden="1" customWidth="1"/>
    <col min="31" max="31" width="20.28515625" customWidth="1"/>
    <col min="32" max="32" width="17.85546875" style="121" customWidth="1"/>
    <col min="33" max="33" width="42.28515625" customWidth="1"/>
    <col min="34" max="34" width="30.5703125" hidden="1" customWidth="1"/>
    <col min="35" max="35" width="18.140625" hidden="1" customWidth="1"/>
    <col min="36" max="36" width="22.5703125" hidden="1" customWidth="1"/>
  </cols>
  <sheetData>
    <row r="1" spans="1:36" ht="21" customHeight="1" x14ac:dyDescent="0.35">
      <c r="G1" s="4" t="s">
        <v>1</v>
      </c>
      <c r="H1" s="11"/>
      <c r="I1" s="11"/>
      <c r="J1" s="11"/>
      <c r="K1" s="11"/>
      <c r="L1" s="11"/>
      <c r="M1" s="11"/>
      <c r="N1" s="11"/>
      <c r="O1" s="11"/>
      <c r="P1" s="11"/>
      <c r="Q1" s="11"/>
      <c r="R1" s="11"/>
      <c r="S1" s="11"/>
      <c r="T1" s="11"/>
      <c r="V1" s="1"/>
      <c r="W1" t="s">
        <v>0</v>
      </c>
      <c r="X1" s="122"/>
    </row>
    <row r="2" spans="1:36" ht="23.25" x14ac:dyDescent="0.35">
      <c r="A2" s="4" t="s">
        <v>1</v>
      </c>
      <c r="G2" s="4" t="s">
        <v>4</v>
      </c>
      <c r="H2" s="11"/>
      <c r="I2" s="11"/>
      <c r="J2" s="11"/>
      <c r="K2" s="11"/>
      <c r="L2" s="11"/>
      <c r="M2" s="11"/>
      <c r="N2" s="11"/>
      <c r="O2" s="11"/>
      <c r="P2" s="11"/>
      <c r="Q2" s="11"/>
      <c r="R2" s="11"/>
      <c r="S2" s="11"/>
      <c r="T2" s="11"/>
      <c r="V2" s="5"/>
      <c r="W2" t="s">
        <v>2</v>
      </c>
      <c r="X2" s="122"/>
      <c r="AB2" s="6"/>
      <c r="AC2" t="s">
        <v>3</v>
      </c>
    </row>
    <row r="3" spans="1:36" ht="23.25" x14ac:dyDescent="0.35">
      <c r="A3" s="4" t="s">
        <v>4</v>
      </c>
      <c r="G3" s="4" t="s">
        <v>7</v>
      </c>
      <c r="H3" s="11"/>
      <c r="I3" s="11"/>
      <c r="J3" s="11"/>
      <c r="K3" s="11"/>
      <c r="L3" s="11"/>
      <c r="M3" s="11"/>
      <c r="N3" s="11"/>
      <c r="O3" s="11"/>
      <c r="P3" s="11"/>
      <c r="Q3" s="11"/>
      <c r="R3" s="11"/>
      <c r="S3" s="11"/>
      <c r="T3" s="11"/>
      <c r="V3" s="7"/>
      <c r="W3" t="s">
        <v>5</v>
      </c>
      <c r="X3" s="122"/>
      <c r="AB3" s="8"/>
      <c r="AC3" t="s">
        <v>6</v>
      </c>
    </row>
    <row r="4" spans="1:36" ht="23.25" x14ac:dyDescent="0.35">
      <c r="A4" s="4" t="s">
        <v>7</v>
      </c>
      <c r="G4" s="4" t="s">
        <v>2225</v>
      </c>
      <c r="H4" s="11"/>
      <c r="I4" s="11"/>
      <c r="J4" s="11"/>
      <c r="K4" s="11"/>
      <c r="L4" s="11"/>
      <c r="M4" s="11"/>
      <c r="N4" s="11"/>
      <c r="O4" s="11"/>
      <c r="P4" s="11"/>
      <c r="Q4" s="11"/>
      <c r="R4" s="11"/>
      <c r="S4" s="11"/>
      <c r="T4" s="11"/>
      <c r="V4" s="9"/>
      <c r="W4" t="s">
        <v>8</v>
      </c>
      <c r="X4" s="122"/>
      <c r="AB4" s="10"/>
      <c r="AC4" t="s">
        <v>9</v>
      </c>
      <c r="AH4" t="s">
        <v>302</v>
      </c>
      <c r="AI4" s="123"/>
    </row>
    <row r="5" spans="1:36" ht="23.25" x14ac:dyDescent="0.35">
      <c r="A5" s="4" t="s">
        <v>303</v>
      </c>
      <c r="G5" s="4" t="s">
        <v>2224</v>
      </c>
      <c r="H5" s="11"/>
      <c r="I5" s="11"/>
      <c r="J5" s="11"/>
      <c r="K5" s="11"/>
      <c r="L5" s="11"/>
      <c r="M5" s="11"/>
      <c r="N5" s="11"/>
      <c r="O5" s="11"/>
      <c r="P5" s="11"/>
      <c r="Q5" s="11"/>
      <c r="R5" s="11"/>
      <c r="S5" s="11"/>
      <c r="T5" s="11"/>
    </row>
    <row r="6" spans="1:36" ht="21" customHeight="1" x14ac:dyDescent="0.35">
      <c r="H6" s="11"/>
      <c r="I6" s="11"/>
      <c r="J6" s="11"/>
      <c r="K6" s="11"/>
      <c r="L6" s="11"/>
      <c r="M6" s="11"/>
      <c r="N6" s="11"/>
      <c r="O6" s="11"/>
      <c r="P6" s="11"/>
      <c r="Q6" s="11"/>
      <c r="R6" s="11"/>
      <c r="S6" s="11"/>
      <c r="T6" s="11"/>
    </row>
    <row r="7" spans="1:36" ht="21" x14ac:dyDescent="0.35">
      <c r="H7" s="11"/>
      <c r="I7" s="11"/>
      <c r="J7" s="11"/>
      <c r="K7" s="11"/>
      <c r="L7" s="11"/>
      <c r="M7" s="11"/>
      <c r="N7" s="11"/>
      <c r="O7" s="11"/>
      <c r="P7" s="11"/>
      <c r="Q7" s="11"/>
      <c r="R7" s="11"/>
      <c r="S7" s="11"/>
      <c r="T7" s="11"/>
    </row>
    <row r="8" spans="1:36" x14ac:dyDescent="0.25">
      <c r="V8" s="473" t="s">
        <v>13</v>
      </c>
      <c r="W8" s="473"/>
      <c r="X8" s="473"/>
      <c r="Y8" s="453" t="s">
        <v>13</v>
      </c>
      <c r="Z8" s="453"/>
      <c r="AA8" s="453"/>
      <c r="AB8" s="453" t="s">
        <v>13</v>
      </c>
      <c r="AC8" s="453"/>
      <c r="AD8" s="453"/>
      <c r="AE8" s="471" t="s">
        <v>13</v>
      </c>
      <c r="AF8" s="471"/>
      <c r="AG8" s="471"/>
    </row>
    <row r="9" spans="1:36" x14ac:dyDescent="0.25">
      <c r="A9" s="472" t="s">
        <v>14</v>
      </c>
      <c r="B9" s="472"/>
      <c r="C9" s="472"/>
      <c r="D9" s="472"/>
      <c r="E9" s="472"/>
      <c r="F9" s="472"/>
      <c r="G9" s="435" t="s">
        <v>304</v>
      </c>
      <c r="H9" s="436"/>
      <c r="I9" s="436"/>
      <c r="J9" s="436"/>
      <c r="K9" s="436"/>
      <c r="L9" s="436"/>
      <c r="M9" s="436"/>
      <c r="N9" s="436"/>
      <c r="O9" s="436"/>
      <c r="P9" s="436"/>
      <c r="Q9" s="436"/>
      <c r="R9" s="436"/>
      <c r="S9" s="436"/>
      <c r="T9" s="436"/>
      <c r="U9" s="436"/>
      <c r="V9" s="435" t="s">
        <v>16</v>
      </c>
      <c r="W9" s="436"/>
      <c r="X9" s="437"/>
      <c r="Y9" s="438" t="s">
        <v>17</v>
      </c>
      <c r="Z9" s="439"/>
      <c r="AA9" s="440"/>
      <c r="AB9" s="441" t="s">
        <v>18</v>
      </c>
      <c r="AC9" s="442"/>
      <c r="AD9" s="443"/>
      <c r="AE9" s="444" t="s">
        <v>19</v>
      </c>
      <c r="AF9" s="445"/>
      <c r="AG9" s="446"/>
      <c r="AH9" s="454" t="s">
        <v>13</v>
      </c>
      <c r="AI9" s="455"/>
      <c r="AJ9" s="456"/>
    </row>
    <row r="10" spans="1:36" ht="15" customHeight="1" x14ac:dyDescent="0.25">
      <c r="A10" s="429" t="s">
        <v>21</v>
      </c>
      <c r="B10" s="465" t="s">
        <v>22</v>
      </c>
      <c r="C10" s="465" t="s">
        <v>23</v>
      </c>
      <c r="D10" s="467" t="s">
        <v>24</v>
      </c>
      <c r="E10" s="468"/>
      <c r="F10" s="465" t="s">
        <v>25</v>
      </c>
      <c r="G10" s="430" t="s">
        <v>26</v>
      </c>
      <c r="H10" s="469" t="s">
        <v>22</v>
      </c>
      <c r="I10" s="430" t="s">
        <v>27</v>
      </c>
      <c r="J10" s="430" t="s">
        <v>28</v>
      </c>
      <c r="K10" s="430" t="s">
        <v>29</v>
      </c>
      <c r="L10" s="430" t="s">
        <v>23</v>
      </c>
      <c r="M10" s="461" t="s">
        <v>30</v>
      </c>
      <c r="N10" s="124" t="s">
        <v>24</v>
      </c>
      <c r="O10" s="125"/>
      <c r="P10" s="125"/>
      <c r="Q10" s="125"/>
      <c r="R10" s="430">
        <v>2016</v>
      </c>
      <c r="S10" s="430" t="s">
        <v>25</v>
      </c>
      <c r="T10" s="462" t="s">
        <v>31</v>
      </c>
      <c r="U10" s="430" t="s">
        <v>32</v>
      </c>
      <c r="V10" s="416" t="s">
        <v>33</v>
      </c>
      <c r="W10" s="416" t="s">
        <v>34</v>
      </c>
      <c r="X10" s="416" t="s">
        <v>35</v>
      </c>
      <c r="Y10" s="459" t="s">
        <v>36</v>
      </c>
      <c r="Z10" s="418" t="s">
        <v>37</v>
      </c>
      <c r="AA10" s="418" t="s">
        <v>38</v>
      </c>
      <c r="AB10" s="410" t="s">
        <v>39</v>
      </c>
      <c r="AC10" s="410" t="s">
        <v>40</v>
      </c>
      <c r="AD10" s="410" t="s">
        <v>41</v>
      </c>
      <c r="AE10" s="412" t="s">
        <v>42</v>
      </c>
      <c r="AF10" s="412" t="s">
        <v>43</v>
      </c>
      <c r="AG10" s="412" t="s">
        <v>44</v>
      </c>
      <c r="AH10" s="424" t="s">
        <v>20</v>
      </c>
      <c r="AI10" s="425"/>
      <c r="AJ10" s="426"/>
    </row>
    <row r="11" spans="1:36" ht="45" x14ac:dyDescent="0.25">
      <c r="A11" s="464"/>
      <c r="B11" s="466"/>
      <c r="C11" s="466"/>
      <c r="D11" s="126" t="s">
        <v>48</v>
      </c>
      <c r="E11" s="126" t="s">
        <v>49</v>
      </c>
      <c r="F11" s="466"/>
      <c r="G11" s="430"/>
      <c r="H11" s="470"/>
      <c r="I11" s="430" t="s">
        <v>27</v>
      </c>
      <c r="J11" s="430"/>
      <c r="K11" s="430"/>
      <c r="L11" s="430" t="s">
        <v>23</v>
      </c>
      <c r="M11" s="461"/>
      <c r="N11" s="127">
        <v>2012</v>
      </c>
      <c r="O11" s="128">
        <v>2013</v>
      </c>
      <c r="P11" s="127">
        <v>2014</v>
      </c>
      <c r="Q11" s="127">
        <v>2015</v>
      </c>
      <c r="R11" s="430">
        <v>2016</v>
      </c>
      <c r="S11" s="430" t="s">
        <v>25</v>
      </c>
      <c r="T11" s="463"/>
      <c r="U11" s="430"/>
      <c r="V11" s="417"/>
      <c r="W11" s="417"/>
      <c r="X11" s="417"/>
      <c r="Y11" s="460"/>
      <c r="Z11" s="417" t="s">
        <v>33</v>
      </c>
      <c r="AA11" s="417" t="s">
        <v>33</v>
      </c>
      <c r="AB11" s="411"/>
      <c r="AC11" s="411" t="s">
        <v>33</v>
      </c>
      <c r="AD11" s="411" t="s">
        <v>33</v>
      </c>
      <c r="AE11" s="458"/>
      <c r="AF11" s="458" t="s">
        <v>33</v>
      </c>
      <c r="AG11" s="458" t="s">
        <v>33</v>
      </c>
      <c r="AH11" s="129" t="s">
        <v>45</v>
      </c>
      <c r="AI11" s="129" t="s">
        <v>46</v>
      </c>
      <c r="AJ11" s="129" t="s">
        <v>47</v>
      </c>
    </row>
    <row r="12" spans="1:36" s="137" customFormat="1" ht="90" x14ac:dyDescent="0.25">
      <c r="A12" s="384" t="s">
        <v>50</v>
      </c>
      <c r="B12" s="384" t="s">
        <v>305</v>
      </c>
      <c r="C12" s="130" t="s">
        <v>306</v>
      </c>
      <c r="D12" s="81">
        <v>40909</v>
      </c>
      <c r="E12" s="81">
        <v>44896</v>
      </c>
      <c r="F12" s="131" t="s">
        <v>307</v>
      </c>
      <c r="G12" s="43" t="s">
        <v>308</v>
      </c>
      <c r="H12" s="45"/>
      <c r="I12" s="45"/>
      <c r="J12" s="63" t="s">
        <v>309</v>
      </c>
      <c r="K12" s="64" t="s">
        <v>310</v>
      </c>
      <c r="L12" s="64" t="s">
        <v>262</v>
      </c>
      <c r="M12" s="65">
        <v>1</v>
      </c>
      <c r="N12" s="65">
        <v>0.2</v>
      </c>
      <c r="O12" s="65">
        <v>0.2</v>
      </c>
      <c r="P12" s="65">
        <v>0.2</v>
      </c>
      <c r="Q12" s="65">
        <v>0.2</v>
      </c>
      <c r="R12" s="79">
        <v>0.2</v>
      </c>
      <c r="S12" s="64" t="s">
        <v>307</v>
      </c>
      <c r="T12" s="132"/>
      <c r="U12" s="132"/>
      <c r="V12" s="133"/>
      <c r="W12" s="107">
        <v>1</v>
      </c>
      <c r="X12" s="133"/>
      <c r="Y12" s="9"/>
      <c r="Z12" s="107">
        <v>1</v>
      </c>
      <c r="AA12" s="134" t="s">
        <v>311</v>
      </c>
      <c r="AB12" s="135"/>
      <c r="AC12" s="45" t="s">
        <v>84</v>
      </c>
      <c r="AD12" s="133"/>
      <c r="AE12" s="9"/>
      <c r="AF12" s="107">
        <v>1</v>
      </c>
      <c r="AG12" s="133" t="s">
        <v>312</v>
      </c>
      <c r="AH12" s="136" t="s">
        <v>313</v>
      </c>
      <c r="AI12" s="136"/>
      <c r="AJ12" s="136"/>
    </row>
    <row r="13" spans="1:36" s="137" customFormat="1" ht="90" x14ac:dyDescent="0.25">
      <c r="A13" s="389"/>
      <c r="B13" s="389"/>
      <c r="C13" s="45" t="s">
        <v>314</v>
      </c>
      <c r="D13" s="138">
        <v>40909</v>
      </c>
      <c r="E13" s="138">
        <v>44896</v>
      </c>
      <c r="F13" s="131" t="s">
        <v>115</v>
      </c>
      <c r="G13" s="43" t="s">
        <v>308</v>
      </c>
      <c r="H13" s="132"/>
      <c r="I13" s="132"/>
      <c r="J13" s="63" t="s">
        <v>315</v>
      </c>
      <c r="K13" s="64" t="s">
        <v>316</v>
      </c>
      <c r="L13" s="64" t="s">
        <v>317</v>
      </c>
      <c r="M13" s="65">
        <v>1</v>
      </c>
      <c r="N13" s="65">
        <v>0.2</v>
      </c>
      <c r="O13" s="52">
        <v>0.2</v>
      </c>
      <c r="P13" s="88">
        <v>0.2</v>
      </c>
      <c r="Q13" s="89"/>
      <c r="R13" s="79">
        <v>0.4</v>
      </c>
      <c r="S13" s="139" t="s">
        <v>115</v>
      </c>
      <c r="T13" s="132"/>
      <c r="U13" s="132"/>
      <c r="V13" s="133"/>
      <c r="W13" s="107">
        <v>0</v>
      </c>
      <c r="X13" s="134" t="s">
        <v>318</v>
      </c>
      <c r="Y13" s="134" t="s">
        <v>319</v>
      </c>
      <c r="Z13" s="107">
        <v>0.55000000000000004</v>
      </c>
      <c r="AA13" s="134" t="s">
        <v>320</v>
      </c>
      <c r="AB13" s="45" t="s">
        <v>319</v>
      </c>
      <c r="AC13" s="45" t="s">
        <v>321</v>
      </c>
      <c r="AD13" s="140" t="s">
        <v>322</v>
      </c>
      <c r="AE13" s="141" t="s">
        <v>319</v>
      </c>
      <c r="AF13" s="141" t="s">
        <v>323</v>
      </c>
      <c r="AG13" s="133"/>
      <c r="AH13" s="60" t="s">
        <v>324</v>
      </c>
      <c r="AI13" s="72"/>
      <c r="AJ13" s="72"/>
    </row>
    <row r="14" spans="1:36" s="137" customFormat="1" ht="199.5" x14ac:dyDescent="0.25">
      <c r="A14" s="142"/>
      <c r="B14" s="143"/>
      <c r="C14" s="45" t="s">
        <v>325</v>
      </c>
      <c r="D14" s="81">
        <v>40909</v>
      </c>
      <c r="E14" s="81">
        <v>44896</v>
      </c>
      <c r="F14" s="82" t="s">
        <v>115</v>
      </c>
      <c r="G14" s="43" t="s">
        <v>308</v>
      </c>
      <c r="H14" s="132"/>
      <c r="I14" s="132"/>
      <c r="J14" s="63" t="s">
        <v>326</v>
      </c>
      <c r="K14" s="64" t="s">
        <v>327</v>
      </c>
      <c r="L14" s="64" t="s">
        <v>328</v>
      </c>
      <c r="M14" s="65">
        <v>1</v>
      </c>
      <c r="N14" s="65">
        <v>0.2</v>
      </c>
      <c r="O14" s="52">
        <v>0.2</v>
      </c>
      <c r="P14" s="53">
        <v>0.2</v>
      </c>
      <c r="Q14" s="89">
        <v>0.2</v>
      </c>
      <c r="R14" s="79">
        <v>0.2</v>
      </c>
      <c r="S14" s="84" t="s">
        <v>115</v>
      </c>
      <c r="T14" s="132"/>
      <c r="U14" s="132"/>
      <c r="V14" s="134" t="s">
        <v>329</v>
      </c>
      <c r="W14" s="107">
        <v>1</v>
      </c>
      <c r="X14" s="133"/>
      <c r="Y14" s="134" t="s">
        <v>330</v>
      </c>
      <c r="Z14" s="107">
        <v>1</v>
      </c>
      <c r="AA14" s="134"/>
      <c r="AB14" s="45" t="s">
        <v>331</v>
      </c>
      <c r="AC14" s="45" t="s">
        <v>84</v>
      </c>
      <c r="AD14" s="133"/>
      <c r="AE14" s="141" t="s">
        <v>332</v>
      </c>
      <c r="AF14" s="147">
        <v>1</v>
      </c>
      <c r="AG14" s="133"/>
      <c r="AH14" s="141" t="s">
        <v>333</v>
      </c>
      <c r="AI14" s="72"/>
      <c r="AJ14" s="72"/>
    </row>
    <row r="15" spans="1:36" s="87" customFormat="1" ht="195" x14ac:dyDescent="0.25">
      <c r="A15" s="38"/>
      <c r="B15" s="38"/>
      <c r="C15" s="45" t="s">
        <v>334</v>
      </c>
      <c r="D15" s="144">
        <v>40909</v>
      </c>
      <c r="E15" s="144">
        <v>44896</v>
      </c>
      <c r="F15" s="131" t="s">
        <v>115</v>
      </c>
      <c r="G15" s="43" t="s">
        <v>308</v>
      </c>
      <c r="H15" s="45" t="s">
        <v>335</v>
      </c>
      <c r="I15" s="45" t="s">
        <v>336</v>
      </c>
      <c r="J15" s="49" t="s">
        <v>337</v>
      </c>
      <c r="K15" s="140" t="s">
        <v>338</v>
      </c>
      <c r="L15" s="45" t="s">
        <v>339</v>
      </c>
      <c r="M15" s="46">
        <v>1</v>
      </c>
      <c r="N15" s="51">
        <v>0.2</v>
      </c>
      <c r="O15" s="52">
        <v>0.2</v>
      </c>
      <c r="P15" s="53">
        <v>0.2</v>
      </c>
      <c r="Q15" s="54">
        <v>0.2</v>
      </c>
      <c r="R15" s="55">
        <v>0.2</v>
      </c>
      <c r="S15" s="45" t="s">
        <v>340</v>
      </c>
      <c r="T15" s="38" t="s">
        <v>341</v>
      </c>
      <c r="U15" s="45" t="s">
        <v>342</v>
      </c>
      <c r="V15" s="134" t="s">
        <v>343</v>
      </c>
      <c r="W15" s="35">
        <v>1</v>
      </c>
      <c r="X15" s="40"/>
      <c r="Y15" s="145" t="s">
        <v>344</v>
      </c>
      <c r="Z15" s="107">
        <v>1</v>
      </c>
      <c r="AA15" s="40"/>
      <c r="AB15" s="45" t="s">
        <v>345</v>
      </c>
      <c r="AC15" s="45" t="s">
        <v>84</v>
      </c>
      <c r="AD15" s="38"/>
      <c r="AE15" s="146" t="s">
        <v>346</v>
      </c>
      <c r="AF15" s="147">
        <v>1</v>
      </c>
      <c r="AG15" s="38"/>
      <c r="AH15" s="58" t="s">
        <v>347</v>
      </c>
      <c r="AI15" s="45"/>
      <c r="AJ15" s="45"/>
    </row>
    <row r="16" spans="1:36" s="87" customFormat="1" ht="180" x14ac:dyDescent="0.25">
      <c r="A16" s="43"/>
      <c r="B16" s="45"/>
      <c r="C16" s="64" t="s">
        <v>348</v>
      </c>
      <c r="D16" s="148">
        <v>40909</v>
      </c>
      <c r="E16" s="148">
        <v>42705</v>
      </c>
      <c r="F16" s="139" t="s">
        <v>115</v>
      </c>
      <c r="G16" s="62" t="s">
        <v>308</v>
      </c>
      <c r="H16" s="45" t="s">
        <v>335</v>
      </c>
      <c r="I16" s="45" t="s">
        <v>336</v>
      </c>
      <c r="J16" s="49" t="s">
        <v>349</v>
      </c>
      <c r="K16" s="45" t="s">
        <v>350</v>
      </c>
      <c r="L16" s="45" t="s">
        <v>351</v>
      </c>
      <c r="M16" s="46">
        <v>1</v>
      </c>
      <c r="N16" s="51">
        <v>0.2</v>
      </c>
      <c r="O16" s="52">
        <v>0.2</v>
      </c>
      <c r="P16" s="53">
        <v>0.2</v>
      </c>
      <c r="Q16" s="54">
        <v>0.2</v>
      </c>
      <c r="R16" s="55">
        <v>0.2</v>
      </c>
      <c r="S16" s="45" t="s">
        <v>60</v>
      </c>
      <c r="T16" s="45"/>
      <c r="U16" s="45" t="s">
        <v>352</v>
      </c>
      <c r="V16" s="145" t="s">
        <v>353</v>
      </c>
      <c r="W16" s="149">
        <v>1</v>
      </c>
      <c r="X16" s="145"/>
      <c r="Y16" s="145" t="s">
        <v>354</v>
      </c>
      <c r="Z16" s="107">
        <v>1</v>
      </c>
      <c r="AA16" s="40"/>
      <c r="AB16" s="145" t="s">
        <v>355</v>
      </c>
      <c r="AC16" s="45" t="s">
        <v>84</v>
      </c>
      <c r="AD16" s="38"/>
      <c r="AE16" s="141" t="s">
        <v>356</v>
      </c>
      <c r="AF16" s="147">
        <v>1</v>
      </c>
      <c r="AG16" s="38"/>
      <c r="AH16" s="141" t="s">
        <v>357</v>
      </c>
      <c r="AI16" s="45"/>
      <c r="AJ16" s="45"/>
    </row>
    <row r="17" spans="1:36" s="87" customFormat="1" ht="315" x14ac:dyDescent="0.25">
      <c r="A17" s="43"/>
      <c r="B17" s="45"/>
      <c r="C17" s="64"/>
      <c r="D17" s="148"/>
      <c r="E17" s="148"/>
      <c r="F17" s="45"/>
      <c r="G17" s="43" t="s">
        <v>308</v>
      </c>
      <c r="H17" s="38"/>
      <c r="I17" s="38"/>
      <c r="J17" s="49" t="s">
        <v>358</v>
      </c>
      <c r="K17" s="45" t="s">
        <v>359</v>
      </c>
      <c r="L17" s="45" t="s">
        <v>360</v>
      </c>
      <c r="M17" s="46">
        <v>1</v>
      </c>
      <c r="N17" s="51">
        <v>0.2</v>
      </c>
      <c r="O17" s="52">
        <v>0.2</v>
      </c>
      <c r="P17" s="53">
        <v>0.2</v>
      </c>
      <c r="Q17" s="46">
        <v>0.2</v>
      </c>
      <c r="R17" s="46">
        <v>0.2</v>
      </c>
      <c r="S17" s="45" t="s">
        <v>60</v>
      </c>
      <c r="T17" s="38"/>
      <c r="U17" s="457" t="s">
        <v>361</v>
      </c>
      <c r="V17" s="134" t="s">
        <v>362</v>
      </c>
      <c r="W17" s="35">
        <v>0.9</v>
      </c>
      <c r="X17" s="134" t="s">
        <v>363</v>
      </c>
      <c r="Y17" s="150" t="s">
        <v>364</v>
      </c>
      <c r="Z17" s="150" t="s">
        <v>365</v>
      </c>
      <c r="AA17" s="40"/>
      <c r="AB17" s="150" t="s">
        <v>366</v>
      </c>
      <c r="AC17" s="45" t="s">
        <v>321</v>
      </c>
      <c r="AD17" s="151" t="s">
        <v>367</v>
      </c>
      <c r="AE17" s="112" t="s">
        <v>368</v>
      </c>
      <c r="AF17" s="145" t="s">
        <v>369</v>
      </c>
      <c r="AG17" s="38"/>
      <c r="AH17" s="141" t="s">
        <v>370</v>
      </c>
      <c r="AI17" s="45"/>
      <c r="AJ17" s="45"/>
    </row>
    <row r="18" spans="1:36" s="87" customFormat="1" ht="171" x14ac:dyDescent="0.25">
      <c r="A18" s="43"/>
      <c r="B18" s="45"/>
      <c r="C18" s="45"/>
      <c r="D18" s="69"/>
      <c r="E18" s="69"/>
      <c r="F18" s="45"/>
      <c r="G18" s="43" t="s">
        <v>308</v>
      </c>
      <c r="H18" s="38"/>
      <c r="I18" s="38"/>
      <c r="J18" s="49" t="s">
        <v>371</v>
      </c>
      <c r="K18" s="45" t="s">
        <v>372</v>
      </c>
      <c r="L18" s="45" t="s">
        <v>373</v>
      </c>
      <c r="M18" s="46">
        <v>0.8</v>
      </c>
      <c r="N18" s="51">
        <v>0.21</v>
      </c>
      <c r="O18" s="52">
        <v>0.22</v>
      </c>
      <c r="P18" s="53">
        <v>0.19</v>
      </c>
      <c r="Q18" s="54">
        <v>0.19</v>
      </c>
      <c r="R18" s="55">
        <v>0.19</v>
      </c>
      <c r="S18" s="45" t="s">
        <v>60</v>
      </c>
      <c r="T18" s="38"/>
      <c r="U18" s="457"/>
      <c r="V18" s="134" t="s">
        <v>374</v>
      </c>
      <c r="W18" s="107">
        <v>0.87</v>
      </c>
      <c r="X18" s="134" t="s">
        <v>375</v>
      </c>
      <c r="Y18" s="134" t="s">
        <v>376</v>
      </c>
      <c r="Z18" s="134" t="s">
        <v>377</v>
      </c>
      <c r="AA18" s="40"/>
      <c r="AB18" s="134" t="s">
        <v>378</v>
      </c>
      <c r="AC18" s="134" t="s">
        <v>379</v>
      </c>
      <c r="AD18" s="38"/>
      <c r="AE18" s="134" t="s">
        <v>380</v>
      </c>
      <c r="AF18" s="147">
        <v>1</v>
      </c>
      <c r="AG18" s="38"/>
      <c r="AH18" s="58" t="s">
        <v>381</v>
      </c>
      <c r="AI18" s="45"/>
      <c r="AJ18" s="45"/>
    </row>
    <row r="19" spans="1:36" s="87" customFormat="1" ht="180" x14ac:dyDescent="0.25">
      <c r="A19" s="43"/>
      <c r="B19" s="45"/>
      <c r="C19" s="45"/>
      <c r="D19" s="69"/>
      <c r="E19" s="69"/>
      <c r="F19" s="45"/>
      <c r="G19" s="43" t="s">
        <v>308</v>
      </c>
      <c r="H19" s="38"/>
      <c r="I19" s="38"/>
      <c r="J19" s="45"/>
      <c r="K19" s="45" t="s">
        <v>382</v>
      </c>
      <c r="L19" s="45" t="s">
        <v>383</v>
      </c>
      <c r="M19" s="46">
        <v>0.2</v>
      </c>
      <c r="N19" s="51">
        <v>0.28999999999999998</v>
      </c>
      <c r="O19" s="52">
        <v>0.28999999999999998</v>
      </c>
      <c r="P19" s="53">
        <v>0.14000000000000001</v>
      </c>
      <c r="Q19" s="54">
        <v>0.14000000000000001</v>
      </c>
      <c r="R19" s="55">
        <v>0.14000000000000001</v>
      </c>
      <c r="S19" s="45" t="s">
        <v>60</v>
      </c>
      <c r="T19" s="38"/>
      <c r="U19" s="457"/>
      <c r="V19" s="134" t="s">
        <v>384</v>
      </c>
      <c r="W19" s="35">
        <v>0.64</v>
      </c>
      <c r="X19" s="134" t="s">
        <v>385</v>
      </c>
      <c r="Y19" s="134" t="s">
        <v>386</v>
      </c>
      <c r="Z19" s="134" t="s">
        <v>387</v>
      </c>
      <c r="AA19" s="152" t="s">
        <v>388</v>
      </c>
      <c r="AB19" s="134" t="s">
        <v>389</v>
      </c>
      <c r="AC19" s="134" t="s">
        <v>390</v>
      </c>
      <c r="AD19" s="151" t="s">
        <v>391</v>
      </c>
      <c r="AE19" s="57" t="s">
        <v>392</v>
      </c>
      <c r="AF19" s="57" t="s">
        <v>393</v>
      </c>
      <c r="AG19" s="38"/>
      <c r="AH19" s="45" t="s">
        <v>389</v>
      </c>
      <c r="AI19" s="45"/>
      <c r="AJ19" s="45"/>
    </row>
    <row r="20" spans="1:36" s="87" customFormat="1" hidden="1" x14ac:dyDescent="0.25">
      <c r="A20" s="43"/>
      <c r="B20" s="45"/>
      <c r="C20" s="45"/>
      <c r="D20" s="69"/>
      <c r="E20" s="69"/>
      <c r="F20" s="45"/>
      <c r="G20" s="43" t="s">
        <v>308</v>
      </c>
      <c r="H20" s="38"/>
      <c r="I20" s="38"/>
      <c r="J20" s="45"/>
      <c r="K20" s="45"/>
      <c r="L20" s="45"/>
      <c r="M20" s="46"/>
      <c r="N20" s="86"/>
      <c r="O20" s="86"/>
      <c r="P20" s="86"/>
      <c r="Q20" s="86"/>
      <c r="R20" s="86"/>
      <c r="S20" s="45"/>
      <c r="T20" s="38"/>
      <c r="U20" s="45"/>
      <c r="V20" s="134"/>
      <c r="W20" s="35"/>
      <c r="X20" s="40"/>
      <c r="Y20" s="150"/>
      <c r="Z20" s="40"/>
      <c r="AA20" s="40"/>
      <c r="AB20" s="38"/>
      <c r="AC20" s="38"/>
      <c r="AD20" s="38"/>
      <c r="AE20" s="38"/>
      <c r="AF20" s="147"/>
      <c r="AG20" s="38"/>
      <c r="AH20" s="45"/>
      <c r="AI20" s="45"/>
      <c r="AJ20" s="45"/>
    </row>
    <row r="21" spans="1:36" s="87" customFormat="1" ht="150" hidden="1" x14ac:dyDescent="0.25">
      <c r="A21" s="43"/>
      <c r="B21" s="45"/>
      <c r="C21" s="45"/>
      <c r="D21" s="69"/>
      <c r="E21" s="69"/>
      <c r="F21" s="45"/>
      <c r="G21" s="43" t="s">
        <v>308</v>
      </c>
      <c r="H21" s="38"/>
      <c r="I21" s="38"/>
      <c r="J21" s="49" t="s">
        <v>394</v>
      </c>
      <c r="K21" s="45" t="s">
        <v>395</v>
      </c>
      <c r="L21" s="45" t="s">
        <v>396</v>
      </c>
      <c r="M21" s="46">
        <v>0.5</v>
      </c>
      <c r="N21" s="51">
        <v>1</v>
      </c>
      <c r="O21" s="46"/>
      <c r="P21" s="86"/>
      <c r="Q21" s="86"/>
      <c r="R21" s="86"/>
      <c r="S21" s="45" t="s">
        <v>397</v>
      </c>
      <c r="T21" s="45" t="s">
        <v>398</v>
      </c>
      <c r="U21" s="457" t="s">
        <v>399</v>
      </c>
      <c r="V21" s="145" t="s">
        <v>400</v>
      </c>
      <c r="W21" s="46">
        <v>1</v>
      </c>
      <c r="X21" s="38"/>
      <c r="Y21" s="38"/>
      <c r="Z21" s="40"/>
      <c r="AA21" s="40"/>
      <c r="AB21" s="38"/>
      <c r="AC21" s="38"/>
      <c r="AD21" s="38"/>
      <c r="AE21" s="38"/>
      <c r="AF21" s="147"/>
      <c r="AG21" s="38"/>
      <c r="AH21" s="45"/>
      <c r="AI21" s="45"/>
      <c r="AJ21" s="45"/>
    </row>
    <row r="22" spans="1:36" s="87" customFormat="1" ht="213.75" x14ac:dyDescent="0.25">
      <c r="A22" s="43"/>
      <c r="B22" s="45"/>
      <c r="C22" s="45"/>
      <c r="D22" s="69"/>
      <c r="E22" s="69"/>
      <c r="F22" s="45"/>
      <c r="G22" s="43" t="s">
        <v>308</v>
      </c>
      <c r="H22" s="38"/>
      <c r="I22" s="38"/>
      <c r="J22" s="45"/>
      <c r="K22" s="45" t="s">
        <v>401</v>
      </c>
      <c r="L22" s="45" t="s">
        <v>402</v>
      </c>
      <c r="M22" s="46">
        <v>0.3</v>
      </c>
      <c r="N22" s="86"/>
      <c r="O22" s="46">
        <v>0.25</v>
      </c>
      <c r="P22" s="53">
        <v>0.25</v>
      </c>
      <c r="Q22" s="54">
        <v>0.25</v>
      </c>
      <c r="R22" s="55">
        <v>0.25</v>
      </c>
      <c r="S22" s="45" t="s">
        <v>397</v>
      </c>
      <c r="T22" s="38"/>
      <c r="U22" s="457"/>
      <c r="V22" s="38"/>
      <c r="W22" s="46"/>
      <c r="X22" s="38"/>
      <c r="Y22" s="153"/>
      <c r="Z22" s="40"/>
      <c r="AA22" s="154" t="s">
        <v>403</v>
      </c>
      <c r="AB22" s="155" t="s">
        <v>404</v>
      </c>
      <c r="AC22" s="134" t="s">
        <v>405</v>
      </c>
      <c r="AD22" s="156" t="s">
        <v>406</v>
      </c>
      <c r="AE22" s="146" t="s">
        <v>407</v>
      </c>
      <c r="AF22" s="146" t="s">
        <v>408</v>
      </c>
      <c r="AG22" s="146" t="s">
        <v>409</v>
      </c>
      <c r="AH22" s="141" t="s">
        <v>410</v>
      </c>
      <c r="AI22" s="45"/>
      <c r="AJ22" s="45"/>
    </row>
    <row r="23" spans="1:36" s="87" customFormat="1" ht="75" x14ac:dyDescent="0.25">
      <c r="A23" s="43"/>
      <c r="B23" s="45"/>
      <c r="C23" s="45"/>
      <c r="D23" s="69"/>
      <c r="E23" s="69"/>
      <c r="F23" s="45"/>
      <c r="G23" s="43" t="s">
        <v>308</v>
      </c>
      <c r="H23" s="38"/>
      <c r="I23" s="38"/>
      <c r="J23" s="45"/>
      <c r="K23" s="45" t="s">
        <v>411</v>
      </c>
      <c r="L23" s="45" t="s">
        <v>412</v>
      </c>
      <c r="M23" s="46">
        <v>0.1</v>
      </c>
      <c r="N23" s="51">
        <v>0.2</v>
      </c>
      <c r="O23" s="46">
        <v>0.2</v>
      </c>
      <c r="P23" s="53">
        <v>0.2</v>
      </c>
      <c r="Q23" s="54">
        <v>0.2</v>
      </c>
      <c r="R23" s="55">
        <v>0.2</v>
      </c>
      <c r="S23" s="45" t="s">
        <v>413</v>
      </c>
      <c r="T23" s="45" t="s">
        <v>414</v>
      </c>
      <c r="U23" s="45" t="s">
        <v>415</v>
      </c>
      <c r="V23" s="45" t="s">
        <v>416</v>
      </c>
      <c r="W23" s="35">
        <v>1</v>
      </c>
      <c r="X23" s="40"/>
      <c r="Y23" s="45" t="s">
        <v>417</v>
      </c>
      <c r="Z23" s="35">
        <v>1</v>
      </c>
      <c r="AA23" s="40"/>
      <c r="AB23" s="155" t="s">
        <v>418</v>
      </c>
      <c r="AC23" s="155" t="s">
        <v>84</v>
      </c>
      <c r="AD23" s="38"/>
      <c r="AE23" s="155" t="s">
        <v>418</v>
      </c>
      <c r="AF23" s="147">
        <v>1</v>
      </c>
      <c r="AG23" s="38"/>
      <c r="AH23" s="45" t="s">
        <v>419</v>
      </c>
      <c r="AI23" s="45"/>
      <c r="AJ23" s="45"/>
    </row>
    <row r="24" spans="1:36" s="87" customFormat="1" ht="60" hidden="1" x14ac:dyDescent="0.25">
      <c r="A24" s="43"/>
      <c r="B24" s="45"/>
      <c r="C24" s="45"/>
      <c r="D24" s="69"/>
      <c r="E24" s="69"/>
      <c r="F24" s="45"/>
      <c r="G24" s="43" t="s">
        <v>308</v>
      </c>
      <c r="H24" s="38"/>
      <c r="I24" s="38"/>
      <c r="J24" s="45"/>
      <c r="K24" s="45" t="s">
        <v>420</v>
      </c>
      <c r="L24" s="45" t="s">
        <v>421</v>
      </c>
      <c r="M24" s="46">
        <v>0.1</v>
      </c>
      <c r="N24" s="51">
        <v>1</v>
      </c>
      <c r="O24" s="46"/>
      <c r="P24" s="86"/>
      <c r="Q24" s="86"/>
      <c r="R24" s="86"/>
      <c r="S24" s="45" t="s">
        <v>413</v>
      </c>
      <c r="T24" s="45" t="s">
        <v>422</v>
      </c>
      <c r="U24" s="45" t="s">
        <v>423</v>
      </c>
      <c r="V24" s="134" t="s">
        <v>424</v>
      </c>
      <c r="W24" s="35">
        <v>1</v>
      </c>
      <c r="X24" s="40"/>
      <c r="Y24" s="134"/>
      <c r="Z24" s="40"/>
      <c r="AA24" s="40"/>
      <c r="AB24" s="38"/>
      <c r="AC24" s="38"/>
      <c r="AD24" s="38"/>
      <c r="AE24" s="38"/>
      <c r="AF24" s="147"/>
      <c r="AG24" s="38"/>
      <c r="AH24" s="45"/>
      <c r="AI24" s="45"/>
      <c r="AJ24" s="45"/>
    </row>
    <row r="25" spans="1:36" s="87" customFormat="1" ht="135" x14ac:dyDescent="0.25">
      <c r="A25" s="43"/>
      <c r="B25" s="45"/>
      <c r="C25" s="45"/>
      <c r="D25" s="69"/>
      <c r="E25" s="69"/>
      <c r="F25" s="45"/>
      <c r="G25" s="43" t="s">
        <v>308</v>
      </c>
      <c r="H25" s="38"/>
      <c r="I25" s="38"/>
      <c r="J25" s="45" t="s">
        <v>425</v>
      </c>
      <c r="K25" s="45" t="s">
        <v>426</v>
      </c>
      <c r="L25" s="45" t="s">
        <v>427</v>
      </c>
      <c r="M25" s="46">
        <v>1</v>
      </c>
      <c r="N25" s="51">
        <v>0.25</v>
      </c>
      <c r="O25" s="52">
        <v>0.25</v>
      </c>
      <c r="P25" s="46">
        <v>0.25</v>
      </c>
      <c r="Q25" s="54">
        <v>0.25</v>
      </c>
      <c r="R25" s="47"/>
      <c r="S25" s="45" t="s">
        <v>119</v>
      </c>
      <c r="T25" s="38"/>
      <c r="U25" s="45" t="s">
        <v>428</v>
      </c>
      <c r="V25" s="45" t="s">
        <v>429</v>
      </c>
      <c r="W25" s="35">
        <v>1</v>
      </c>
      <c r="X25" s="40"/>
      <c r="Y25" s="45" t="s">
        <v>430</v>
      </c>
      <c r="Z25" s="35">
        <v>1</v>
      </c>
      <c r="AA25" s="40"/>
      <c r="AB25" s="58" t="s">
        <v>431</v>
      </c>
      <c r="AC25" s="155" t="s">
        <v>84</v>
      </c>
      <c r="AD25" s="38"/>
      <c r="AE25" s="58" t="s">
        <v>432</v>
      </c>
      <c r="AF25" s="147">
        <v>1</v>
      </c>
      <c r="AG25" s="38"/>
      <c r="AH25" s="45"/>
      <c r="AI25" s="45"/>
      <c r="AJ25" s="45"/>
    </row>
    <row r="26" spans="1:36" s="87" customFormat="1" ht="135" hidden="1" x14ac:dyDescent="0.25">
      <c r="A26" s="43"/>
      <c r="B26" s="45"/>
      <c r="C26" s="45"/>
      <c r="D26" s="69"/>
      <c r="E26" s="69"/>
      <c r="F26" s="45"/>
      <c r="G26" s="43" t="s">
        <v>308</v>
      </c>
      <c r="H26" s="38"/>
      <c r="I26" s="38"/>
      <c r="J26" s="45" t="s">
        <v>433</v>
      </c>
      <c r="K26" s="45" t="s">
        <v>434</v>
      </c>
      <c r="L26" s="45" t="s">
        <v>435</v>
      </c>
      <c r="M26" s="46">
        <v>0.3</v>
      </c>
      <c r="N26" s="46">
        <v>1</v>
      </c>
      <c r="O26" s="46"/>
      <c r="P26" s="46"/>
      <c r="Q26" s="46"/>
      <c r="R26" s="47"/>
      <c r="S26" s="45" t="s">
        <v>436</v>
      </c>
      <c r="T26" s="45" t="s">
        <v>437</v>
      </c>
      <c r="U26" s="457" t="s">
        <v>438</v>
      </c>
      <c r="V26" s="151"/>
      <c r="W26" s="46">
        <v>0.25</v>
      </c>
      <c r="X26" s="45" t="s">
        <v>439</v>
      </c>
      <c r="Y26" s="151"/>
      <c r="Z26" s="45" t="s">
        <v>440</v>
      </c>
      <c r="AA26" s="40"/>
      <c r="AB26" s="38"/>
      <c r="AC26" s="38"/>
      <c r="AD26" s="155" t="s">
        <v>441</v>
      </c>
      <c r="AE26" s="38"/>
      <c r="AF26" s="147"/>
      <c r="AG26" s="38"/>
      <c r="AH26" s="45"/>
      <c r="AI26" s="45"/>
      <c r="AJ26" s="45"/>
    </row>
    <row r="27" spans="1:36" s="87" customFormat="1" ht="60" hidden="1" x14ac:dyDescent="0.25">
      <c r="A27" s="43"/>
      <c r="B27" s="45"/>
      <c r="C27" s="45"/>
      <c r="D27" s="69"/>
      <c r="E27" s="69"/>
      <c r="F27" s="45"/>
      <c r="G27" s="43" t="s">
        <v>308</v>
      </c>
      <c r="H27" s="38"/>
      <c r="I27" s="38"/>
      <c r="J27" s="45"/>
      <c r="K27" s="45" t="s">
        <v>442</v>
      </c>
      <c r="L27" s="45" t="s">
        <v>443</v>
      </c>
      <c r="M27" s="46">
        <v>0.7</v>
      </c>
      <c r="N27" s="46"/>
      <c r="O27" s="46"/>
      <c r="P27" s="46"/>
      <c r="Q27" s="46"/>
      <c r="R27" s="46"/>
      <c r="S27" s="45" t="s">
        <v>444</v>
      </c>
      <c r="T27" s="45" t="s">
        <v>437</v>
      </c>
      <c r="U27" s="457"/>
      <c r="V27" s="106"/>
      <c r="W27" s="35"/>
      <c r="X27" s="40"/>
      <c r="Y27" s="150"/>
      <c r="Z27" s="40"/>
      <c r="AA27" s="40"/>
      <c r="AB27" s="38" t="s">
        <v>445</v>
      </c>
      <c r="AC27" s="38"/>
      <c r="AD27" s="38"/>
      <c r="AE27" s="153" t="s">
        <v>68</v>
      </c>
      <c r="AF27" s="147"/>
      <c r="AG27" s="38"/>
      <c r="AH27" s="45"/>
      <c r="AI27" s="45"/>
      <c r="AJ27" s="45"/>
    </row>
    <row r="28" spans="1:36" s="87" customFormat="1" ht="90" hidden="1" x14ac:dyDescent="0.25">
      <c r="A28" s="43"/>
      <c r="B28" s="45"/>
      <c r="C28" s="45"/>
      <c r="D28" s="69"/>
      <c r="E28" s="69"/>
      <c r="F28" s="45"/>
      <c r="G28" s="43" t="s">
        <v>308</v>
      </c>
      <c r="H28" s="38"/>
      <c r="I28" s="38"/>
      <c r="J28" s="45" t="s">
        <v>446</v>
      </c>
      <c r="K28" s="45" t="s">
        <v>447</v>
      </c>
      <c r="L28" s="45" t="s">
        <v>421</v>
      </c>
      <c r="M28" s="46"/>
      <c r="N28" s="46"/>
      <c r="O28" s="46"/>
      <c r="P28" s="46"/>
      <c r="Q28" s="46"/>
      <c r="R28" s="47"/>
      <c r="S28" s="45" t="s">
        <v>60</v>
      </c>
      <c r="T28" s="38"/>
      <c r="U28" s="45" t="s">
        <v>448</v>
      </c>
      <c r="V28" s="38"/>
      <c r="W28" s="46"/>
      <c r="X28" s="38"/>
      <c r="Y28" s="150"/>
      <c r="Z28" s="40"/>
      <c r="AA28" s="40"/>
      <c r="AB28" s="38" t="s">
        <v>449</v>
      </c>
      <c r="AC28" s="38"/>
      <c r="AD28" s="38"/>
      <c r="AE28" s="38"/>
      <c r="AF28" s="147"/>
      <c r="AG28" s="38"/>
      <c r="AH28" s="45"/>
      <c r="AI28" s="45"/>
      <c r="AJ28" s="45"/>
    </row>
    <row r="29" spans="1:36" s="87" customFormat="1" ht="165" hidden="1" x14ac:dyDescent="0.25">
      <c r="A29" s="43"/>
      <c r="B29" s="45"/>
      <c r="C29" s="45"/>
      <c r="D29" s="69"/>
      <c r="E29" s="69"/>
      <c r="F29" s="45"/>
      <c r="G29" s="43" t="s">
        <v>308</v>
      </c>
      <c r="H29" s="38"/>
      <c r="I29" s="38"/>
      <c r="J29" s="45" t="s">
        <v>450</v>
      </c>
      <c r="K29" s="45" t="s">
        <v>451</v>
      </c>
      <c r="L29" s="45" t="s">
        <v>197</v>
      </c>
      <c r="M29" s="46">
        <v>0.3</v>
      </c>
      <c r="N29" s="51">
        <v>1</v>
      </c>
      <c r="O29" s="86"/>
      <c r="P29" s="86"/>
      <c r="Q29" s="86"/>
      <c r="R29" s="86"/>
      <c r="S29" s="25" t="s">
        <v>452</v>
      </c>
      <c r="T29" s="25" t="s">
        <v>453</v>
      </c>
      <c r="U29" s="45" t="s">
        <v>454</v>
      </c>
      <c r="V29" s="134" t="s">
        <v>455</v>
      </c>
      <c r="W29" s="107">
        <v>1</v>
      </c>
      <c r="X29" s="40"/>
      <c r="Y29" s="134"/>
      <c r="Z29" s="40"/>
      <c r="AA29" s="40"/>
      <c r="AB29" s="38"/>
      <c r="AC29" s="38"/>
      <c r="AD29" s="38"/>
      <c r="AE29" s="38"/>
      <c r="AF29" s="147"/>
      <c r="AG29" s="38"/>
      <c r="AH29" s="45"/>
      <c r="AI29" s="45"/>
      <c r="AJ29" s="45"/>
    </row>
    <row r="30" spans="1:36" s="87" customFormat="1" ht="225" x14ac:dyDescent="0.25">
      <c r="A30" s="43"/>
      <c r="B30" s="45"/>
      <c r="C30" s="45"/>
      <c r="D30" s="69"/>
      <c r="E30" s="69"/>
      <c r="F30" s="45"/>
      <c r="G30" s="43" t="s">
        <v>308</v>
      </c>
      <c r="H30" s="38"/>
      <c r="I30" s="38"/>
      <c r="J30" s="38"/>
      <c r="K30" s="45" t="s">
        <v>456</v>
      </c>
      <c r="L30" s="45" t="s">
        <v>457</v>
      </c>
      <c r="M30" s="46">
        <v>0.6</v>
      </c>
      <c r="N30" s="51">
        <v>0.2</v>
      </c>
      <c r="O30" s="52">
        <v>0.2</v>
      </c>
      <c r="P30" s="53">
        <v>0.2</v>
      </c>
      <c r="Q30" s="54">
        <v>0.2</v>
      </c>
      <c r="R30" s="55">
        <v>0.2</v>
      </c>
      <c r="S30" s="25" t="s">
        <v>452</v>
      </c>
      <c r="T30" s="157" t="s">
        <v>453</v>
      </c>
      <c r="U30" s="45" t="s">
        <v>458</v>
      </c>
      <c r="V30" s="134" t="s">
        <v>459</v>
      </c>
      <c r="W30" s="35">
        <v>1</v>
      </c>
      <c r="X30" s="40"/>
      <c r="Y30" s="150" t="s">
        <v>460</v>
      </c>
      <c r="Z30" s="35">
        <v>1</v>
      </c>
      <c r="AA30" s="40"/>
      <c r="AB30" s="150" t="s">
        <v>461</v>
      </c>
      <c r="AC30" s="155" t="s">
        <v>84</v>
      </c>
      <c r="AD30" s="38"/>
      <c r="AE30" s="150" t="s">
        <v>462</v>
      </c>
      <c r="AF30" s="147">
        <v>1</v>
      </c>
      <c r="AG30" s="38"/>
      <c r="AH30" s="58" t="s">
        <v>463</v>
      </c>
      <c r="AI30" s="45"/>
      <c r="AJ30" s="45"/>
    </row>
    <row r="31" spans="1:36" s="87" customFormat="1" ht="195" x14ac:dyDescent="0.25">
      <c r="A31" s="43"/>
      <c r="B31" s="45"/>
      <c r="C31" s="45"/>
      <c r="D31" s="69"/>
      <c r="E31" s="69"/>
      <c r="F31" s="45"/>
      <c r="G31" s="43" t="s">
        <v>308</v>
      </c>
      <c r="H31" s="38"/>
      <c r="I31" s="38"/>
      <c r="J31" s="45"/>
      <c r="K31" s="45" t="s">
        <v>464</v>
      </c>
      <c r="L31" s="45" t="s">
        <v>465</v>
      </c>
      <c r="M31" s="46">
        <v>0.1</v>
      </c>
      <c r="N31" s="158">
        <v>120</v>
      </c>
      <c r="O31" s="159">
        <v>120</v>
      </c>
      <c r="P31" s="160">
        <v>120</v>
      </c>
      <c r="Q31" s="161">
        <v>120</v>
      </c>
      <c r="R31" s="162">
        <v>120</v>
      </c>
      <c r="S31" s="45" t="s">
        <v>466</v>
      </c>
      <c r="T31" s="38"/>
      <c r="U31" s="45" t="s">
        <v>467</v>
      </c>
      <c r="V31" s="134" t="s">
        <v>468</v>
      </c>
      <c r="W31" s="35">
        <v>1</v>
      </c>
      <c r="X31" s="40"/>
      <c r="Y31" s="90" t="s">
        <v>469</v>
      </c>
      <c r="Z31" s="35">
        <v>1</v>
      </c>
      <c r="AA31" s="40"/>
      <c r="AB31" s="90" t="s">
        <v>470</v>
      </c>
      <c r="AC31" s="90" t="s">
        <v>471</v>
      </c>
      <c r="AD31" s="38"/>
      <c r="AE31" s="45" t="s">
        <v>472</v>
      </c>
      <c r="AF31" s="147">
        <v>1</v>
      </c>
      <c r="AG31" s="38"/>
      <c r="AH31" s="163" t="s">
        <v>473</v>
      </c>
      <c r="AI31" s="45"/>
      <c r="AJ31" s="45"/>
    </row>
    <row r="32" spans="1:36" s="87" customFormat="1" ht="120" x14ac:dyDescent="0.25">
      <c r="A32" s="43"/>
      <c r="B32" s="45"/>
      <c r="C32" s="64" t="s">
        <v>474</v>
      </c>
      <c r="D32" s="148">
        <v>40909</v>
      </c>
      <c r="E32" s="148">
        <v>42705</v>
      </c>
      <c r="F32" s="45"/>
      <c r="G32" s="43" t="s">
        <v>308</v>
      </c>
      <c r="H32" s="45" t="s">
        <v>475</v>
      </c>
      <c r="I32" s="45" t="s">
        <v>476</v>
      </c>
      <c r="J32" s="45" t="s">
        <v>477</v>
      </c>
      <c r="K32" s="45" t="s">
        <v>478</v>
      </c>
      <c r="L32" s="45" t="s">
        <v>479</v>
      </c>
      <c r="M32" s="46">
        <v>0.5</v>
      </c>
      <c r="N32" s="46">
        <v>0.2</v>
      </c>
      <c r="O32" s="46">
        <v>0.2</v>
      </c>
      <c r="P32" s="46">
        <v>0.2</v>
      </c>
      <c r="Q32" s="46">
        <v>0.2</v>
      </c>
      <c r="R32" s="46">
        <v>0.2</v>
      </c>
      <c r="S32" s="45" t="s">
        <v>119</v>
      </c>
      <c r="T32" s="38" t="s">
        <v>480</v>
      </c>
      <c r="U32" s="457" t="s">
        <v>481</v>
      </c>
      <c r="V32" s="38"/>
      <c r="W32" s="46">
        <v>1</v>
      </c>
      <c r="X32" s="38"/>
      <c r="Y32" s="153"/>
      <c r="Z32" s="35">
        <v>1</v>
      </c>
      <c r="AA32" s="133"/>
      <c r="AB32" s="48"/>
      <c r="AC32" s="90" t="s">
        <v>471</v>
      </c>
      <c r="AD32" s="38"/>
      <c r="AE32" s="153"/>
      <c r="AF32" s="147">
        <v>1</v>
      </c>
      <c r="AG32" s="45" t="s">
        <v>504</v>
      </c>
      <c r="AH32" s="45"/>
      <c r="AI32" s="45"/>
      <c r="AJ32" s="45"/>
    </row>
    <row r="33" spans="1:36" s="87" customFormat="1" ht="150" x14ac:dyDescent="0.25">
      <c r="A33" s="43"/>
      <c r="B33" s="45"/>
      <c r="C33" s="45"/>
      <c r="D33" s="69"/>
      <c r="E33" s="69"/>
      <c r="F33" s="45"/>
      <c r="G33" s="43" t="s">
        <v>308</v>
      </c>
      <c r="H33" s="45"/>
      <c r="I33" s="45"/>
      <c r="J33" s="45"/>
      <c r="K33" s="45" t="s">
        <v>482</v>
      </c>
      <c r="L33" s="45" t="s">
        <v>421</v>
      </c>
      <c r="M33" s="46">
        <v>0.5</v>
      </c>
      <c r="N33" s="51">
        <v>0.2</v>
      </c>
      <c r="O33" s="52">
        <v>0.2</v>
      </c>
      <c r="P33" s="53">
        <v>0.2</v>
      </c>
      <c r="Q33" s="54">
        <v>0.2</v>
      </c>
      <c r="R33" s="55">
        <v>0.2</v>
      </c>
      <c r="S33" s="45" t="s">
        <v>119</v>
      </c>
      <c r="T33" s="38"/>
      <c r="U33" s="457"/>
      <c r="V33" s="134" t="s">
        <v>483</v>
      </c>
      <c r="W33" s="35">
        <v>1</v>
      </c>
      <c r="X33" s="40"/>
      <c r="Y33" s="150" t="s">
        <v>484</v>
      </c>
      <c r="Z33" s="35">
        <v>1</v>
      </c>
      <c r="AA33" s="40"/>
      <c r="AB33" s="150" t="s">
        <v>485</v>
      </c>
      <c r="AC33" s="90" t="s">
        <v>471</v>
      </c>
      <c r="AD33" s="38"/>
      <c r="AE33" s="45" t="s">
        <v>486</v>
      </c>
      <c r="AF33" s="147">
        <v>1</v>
      </c>
      <c r="AG33" s="38"/>
      <c r="AH33" s="141" t="s">
        <v>487</v>
      </c>
      <c r="AI33" s="45"/>
      <c r="AJ33" s="45"/>
    </row>
    <row r="34" spans="1:36" s="87" customFormat="1" ht="105" hidden="1" x14ac:dyDescent="0.25">
      <c r="A34" s="43"/>
      <c r="B34" s="45"/>
      <c r="C34" s="45"/>
      <c r="D34" s="69"/>
      <c r="E34" s="69"/>
      <c r="F34" s="45"/>
      <c r="G34" s="43" t="s">
        <v>308</v>
      </c>
      <c r="H34" s="38"/>
      <c r="I34" s="44"/>
      <c r="J34" s="49" t="s">
        <v>488</v>
      </c>
      <c r="K34" s="45" t="s">
        <v>489</v>
      </c>
      <c r="L34" s="45" t="s">
        <v>435</v>
      </c>
      <c r="M34" s="46">
        <v>0.6</v>
      </c>
      <c r="N34" s="51">
        <v>1</v>
      </c>
      <c r="O34" s="38"/>
      <c r="P34" s="46"/>
      <c r="Q34" s="38"/>
      <c r="R34" s="38"/>
      <c r="S34" s="45" t="s">
        <v>60</v>
      </c>
      <c r="T34" s="38"/>
      <c r="U34" s="145" t="s">
        <v>490</v>
      </c>
      <c r="V34" s="145" t="s">
        <v>491</v>
      </c>
      <c r="W34" s="107">
        <v>1</v>
      </c>
      <c r="X34" s="40"/>
      <c r="Y34" s="150"/>
      <c r="Z34" s="40"/>
      <c r="AA34" s="40"/>
      <c r="AB34" s="38"/>
      <c r="AC34" s="38"/>
      <c r="AD34" s="38"/>
      <c r="AE34" s="38"/>
      <c r="AF34" s="147"/>
      <c r="AG34" s="38"/>
      <c r="AH34" s="45"/>
      <c r="AI34" s="45"/>
      <c r="AJ34" s="45"/>
    </row>
    <row r="35" spans="1:36" s="87" customFormat="1" ht="300.75" hidden="1" x14ac:dyDescent="0.25">
      <c r="A35" s="43"/>
      <c r="B35" s="45"/>
      <c r="C35" s="45"/>
      <c r="D35" s="38"/>
      <c r="E35" s="38"/>
      <c r="F35" s="38"/>
      <c r="G35" s="43" t="s">
        <v>308</v>
      </c>
      <c r="H35" s="38"/>
      <c r="I35" s="38"/>
      <c r="J35" s="38"/>
      <c r="K35" s="45" t="s">
        <v>492</v>
      </c>
      <c r="L35" s="45" t="s">
        <v>493</v>
      </c>
      <c r="M35" s="46">
        <v>0.4</v>
      </c>
      <c r="N35" s="46"/>
      <c r="O35" s="46">
        <v>1</v>
      </c>
      <c r="P35" s="38"/>
      <c r="Q35" s="38"/>
      <c r="R35" s="38"/>
      <c r="S35" s="45" t="s">
        <v>60</v>
      </c>
      <c r="T35" s="38"/>
      <c r="U35" s="145"/>
      <c r="V35" s="38"/>
      <c r="W35" s="46"/>
      <c r="X35" s="38"/>
      <c r="Y35" s="141" t="s">
        <v>494</v>
      </c>
      <c r="Z35" s="35">
        <v>0.9</v>
      </c>
      <c r="AA35" s="164" t="s">
        <v>495</v>
      </c>
      <c r="AB35" s="38"/>
      <c r="AC35" s="35">
        <v>0.1</v>
      </c>
      <c r="AD35" s="45" t="s">
        <v>496</v>
      </c>
      <c r="AE35" s="38"/>
      <c r="AF35" s="147"/>
      <c r="AG35" s="38"/>
      <c r="AH35" s="45"/>
      <c r="AI35" s="45"/>
      <c r="AJ35" s="45"/>
    </row>
    <row r="36" spans="1:36" s="87" customFormat="1" ht="105" hidden="1" x14ac:dyDescent="0.25">
      <c r="A36" s="43" t="s">
        <v>50</v>
      </c>
      <c r="B36" s="45" t="s">
        <v>113</v>
      </c>
      <c r="C36" s="45" t="s">
        <v>497</v>
      </c>
      <c r="D36" s="69">
        <v>40909</v>
      </c>
      <c r="E36" s="69">
        <v>43070</v>
      </c>
      <c r="F36" s="45" t="s">
        <v>115</v>
      </c>
      <c r="G36" s="43" t="s">
        <v>308</v>
      </c>
      <c r="H36" s="38"/>
      <c r="I36" s="38"/>
      <c r="J36" s="45" t="s">
        <v>498</v>
      </c>
      <c r="K36" s="45" t="s">
        <v>499</v>
      </c>
      <c r="L36" s="45" t="s">
        <v>59</v>
      </c>
      <c r="M36" s="46">
        <v>1</v>
      </c>
      <c r="N36" s="51">
        <v>1</v>
      </c>
      <c r="O36" s="46"/>
      <c r="P36" s="47"/>
      <c r="Q36" s="47"/>
      <c r="R36" s="47"/>
      <c r="S36" s="45" t="s">
        <v>500</v>
      </c>
      <c r="T36" s="38"/>
      <c r="U36" s="45" t="s">
        <v>501</v>
      </c>
      <c r="V36" s="134" t="s">
        <v>502</v>
      </c>
      <c r="W36" s="35">
        <v>1</v>
      </c>
      <c r="X36" s="40"/>
      <c r="Y36" s="134" t="s">
        <v>503</v>
      </c>
      <c r="Z36" s="38"/>
      <c r="AA36" s="38"/>
      <c r="AB36" s="38"/>
      <c r="AC36" s="38"/>
      <c r="AD36" s="38"/>
      <c r="AE36" s="38"/>
      <c r="AF36" s="85"/>
      <c r="AG36" s="38"/>
    </row>
  </sheetData>
  <protectedRanges>
    <protectedRange sqref="V34" name="Rango1_4_3"/>
    <protectedRange sqref="V15" name="Rango1_4_1_1"/>
    <protectedRange sqref="V29" name="Rango1_4_2_1"/>
    <protectedRange sqref="V31" name="Rango1_4_4"/>
    <protectedRange sqref="AB22" name="Rango1_4"/>
    <protectedRange sqref="AB23" name="Rango1_4_1"/>
    <protectedRange sqref="Y23" name="Rango1_4_2"/>
    <protectedRange sqref="AB19" name="Rango1_4_5"/>
    <protectedRange sqref="AB13" name="Rango1_4_6"/>
    <protectedRange sqref="Y13" name="Rango1_4_7"/>
    <protectedRange sqref="AE19" name="Rango1_4_8"/>
    <protectedRange sqref="AE23" name="Rango1_4_9"/>
    <protectedRange sqref="AE31" name="Rango1_4_10"/>
    <protectedRange sqref="AH13" name="Rango1_4_11"/>
  </protectedRanges>
  <mergeCells count="46">
    <mergeCell ref="AB8:AD8"/>
    <mergeCell ref="AE8:AG8"/>
    <mergeCell ref="A9:F9"/>
    <mergeCell ref="G9:U9"/>
    <mergeCell ref="V9:X9"/>
    <mergeCell ref="Y9:AA9"/>
    <mergeCell ref="AB9:AD9"/>
    <mergeCell ref="AE9:AG9"/>
    <mergeCell ref="V8:X8"/>
    <mergeCell ref="Y8:AA8"/>
    <mergeCell ref="AH9:AJ9"/>
    <mergeCell ref="A10:A11"/>
    <mergeCell ref="B10:B11"/>
    <mergeCell ref="C10:C11"/>
    <mergeCell ref="D10:E10"/>
    <mergeCell ref="F10:F11"/>
    <mergeCell ref="G10:G11"/>
    <mergeCell ref="H10:H11"/>
    <mergeCell ref="I10:I11"/>
    <mergeCell ref="J10:J11"/>
    <mergeCell ref="W10:W11"/>
    <mergeCell ref="X10:X11"/>
    <mergeCell ref="Y10:Y11"/>
    <mergeCell ref="Z10:Z11"/>
    <mergeCell ref="K10:K11"/>
    <mergeCell ref="L10:L11"/>
    <mergeCell ref="M10:M11"/>
    <mergeCell ref="R10:R11"/>
    <mergeCell ref="S10:S11"/>
    <mergeCell ref="T10:T11"/>
    <mergeCell ref="U26:U27"/>
    <mergeCell ref="U32:U33"/>
    <mergeCell ref="AG10:AG11"/>
    <mergeCell ref="AH10:AJ10"/>
    <mergeCell ref="A12:A13"/>
    <mergeCell ref="B12:B13"/>
    <mergeCell ref="U17:U19"/>
    <mergeCell ref="U21:U22"/>
    <mergeCell ref="AA10:AA11"/>
    <mergeCell ref="AB10:AB11"/>
    <mergeCell ref="AC10:AC11"/>
    <mergeCell ref="AD10:AD11"/>
    <mergeCell ref="AE10:AE11"/>
    <mergeCell ref="AF10:AF11"/>
    <mergeCell ref="U10:U11"/>
    <mergeCell ref="V10:V11"/>
  </mergeCells>
  <printOptions horizontalCentered="1" verticalCentered="1"/>
  <pageMargins left="0.70866141732283472" right="0.70866141732283472" top="0.74803149606299213" bottom="0.74803149606299213" header="0.31496062992125984" footer="0.31496062992125984"/>
  <pageSetup paperSize="9" scale="55"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71"/>
  <sheetViews>
    <sheetView topLeftCell="G1" workbookViewId="0">
      <selection activeCell="J13" sqref="J13"/>
    </sheetView>
  </sheetViews>
  <sheetFormatPr baseColWidth="10" defaultRowHeight="15" x14ac:dyDescent="0.25"/>
  <cols>
    <col min="1" max="1" width="23.140625" hidden="1" customWidth="1"/>
    <col min="2" max="2" width="26.42578125" hidden="1" customWidth="1"/>
    <col min="3" max="3" width="23.140625" hidden="1" customWidth="1"/>
    <col min="4" max="4" width="10.5703125" hidden="1" customWidth="1"/>
    <col min="5" max="5" width="9" hidden="1" customWidth="1"/>
    <col min="6" max="6" width="19.5703125" hidden="1" customWidth="1"/>
    <col min="7" max="7" width="18.28515625" customWidth="1"/>
    <col min="8" max="8" width="24.85546875" customWidth="1"/>
    <col min="9" max="9" width="27.5703125" customWidth="1"/>
    <col min="10" max="10" width="20.85546875" customWidth="1"/>
    <col min="11" max="11" width="21.42578125" customWidth="1"/>
    <col min="12" max="12" width="12.140625" customWidth="1"/>
    <col min="13" max="13" width="8.42578125" hidden="1" customWidth="1"/>
    <col min="14" max="14" width="6.7109375" hidden="1" customWidth="1"/>
    <col min="15" max="16" width="7.5703125" hidden="1" customWidth="1"/>
    <col min="17" max="17" width="8.42578125" customWidth="1"/>
    <col min="18" max="18" width="8.42578125" hidden="1" customWidth="1"/>
    <col min="19" max="19" width="21.140625" customWidth="1"/>
    <col min="20" max="22" width="21.140625" hidden="1" customWidth="1"/>
    <col min="23" max="23" width="14.7109375" hidden="1" customWidth="1"/>
    <col min="24" max="24" width="23.5703125" hidden="1" customWidth="1"/>
    <col min="25" max="25" width="19.28515625" hidden="1" customWidth="1"/>
    <col min="26" max="26" width="20.5703125" hidden="1" customWidth="1"/>
    <col min="27" max="27" width="21.140625" hidden="1" customWidth="1"/>
    <col min="28" max="28" width="20.28515625" hidden="1" customWidth="1"/>
    <col min="29" max="29" width="15.7109375" hidden="1" customWidth="1"/>
    <col min="30" max="30" width="16.85546875" hidden="1" customWidth="1"/>
    <col min="31" max="31" width="22.140625" customWidth="1"/>
    <col min="32" max="32" width="17.7109375" customWidth="1"/>
    <col min="33" max="33" width="17.28515625" customWidth="1"/>
    <col min="34" max="34" width="34.28515625" hidden="1" customWidth="1"/>
    <col min="35" max="35" width="18.140625" hidden="1" customWidth="1"/>
    <col min="36" max="36" width="22.5703125" hidden="1" customWidth="1"/>
  </cols>
  <sheetData>
    <row r="1" spans="1:36" ht="23.25" x14ac:dyDescent="0.35">
      <c r="G1" s="4" t="s">
        <v>1</v>
      </c>
      <c r="AH1" t="s">
        <v>505</v>
      </c>
      <c r="AI1" s="123"/>
    </row>
    <row r="2" spans="1:36" ht="23.25" x14ac:dyDescent="0.35">
      <c r="A2" s="4" t="s">
        <v>1</v>
      </c>
      <c r="B2" s="4"/>
      <c r="C2" s="4"/>
      <c r="D2" s="4"/>
      <c r="E2" s="4"/>
      <c r="F2" s="4"/>
      <c r="G2" s="4" t="s">
        <v>4</v>
      </c>
      <c r="H2" s="4"/>
      <c r="I2" s="4"/>
      <c r="J2" s="4"/>
      <c r="K2" s="4"/>
      <c r="L2" s="4"/>
      <c r="M2" s="4"/>
      <c r="N2" s="4"/>
      <c r="O2" s="4"/>
      <c r="P2" s="4"/>
      <c r="Q2" s="4"/>
      <c r="R2" s="4"/>
      <c r="S2" s="4"/>
      <c r="T2" s="4"/>
      <c r="U2" s="4"/>
      <c r="V2" s="1"/>
      <c r="W2" t="s">
        <v>0</v>
      </c>
      <c r="Z2" s="6"/>
      <c r="AA2" t="s">
        <v>3</v>
      </c>
    </row>
    <row r="3" spans="1:36" ht="23.25" x14ac:dyDescent="0.35">
      <c r="A3" s="4" t="s">
        <v>4</v>
      </c>
      <c r="B3" s="4"/>
      <c r="C3" s="4"/>
      <c r="D3" s="4"/>
      <c r="E3" s="4"/>
      <c r="F3" s="4"/>
      <c r="G3" s="4" t="s">
        <v>7</v>
      </c>
      <c r="H3" s="4"/>
      <c r="I3" s="4"/>
      <c r="J3" s="4"/>
      <c r="K3" s="4"/>
      <c r="L3" s="4"/>
      <c r="M3" s="4"/>
      <c r="N3" s="4"/>
      <c r="O3" s="4"/>
      <c r="P3" s="4"/>
      <c r="Q3" s="4"/>
      <c r="R3" s="4"/>
      <c r="S3" s="4"/>
      <c r="T3" s="4"/>
      <c r="U3" s="4"/>
      <c r="V3" s="5"/>
      <c r="W3" t="s">
        <v>2</v>
      </c>
      <c r="Z3" s="8"/>
      <c r="AA3" t="s">
        <v>6</v>
      </c>
    </row>
    <row r="4" spans="1:36" ht="23.25" x14ac:dyDescent="0.35">
      <c r="A4" s="4" t="s">
        <v>7</v>
      </c>
      <c r="B4" s="4"/>
      <c r="C4" s="4"/>
      <c r="D4" s="4"/>
      <c r="E4" s="4"/>
      <c r="F4" s="4"/>
      <c r="G4" s="4" t="s">
        <v>2226</v>
      </c>
      <c r="H4" s="4"/>
      <c r="I4" s="4"/>
      <c r="J4" s="4"/>
      <c r="K4" s="4"/>
      <c r="L4" s="4"/>
      <c r="M4" s="4"/>
      <c r="N4" s="4"/>
      <c r="O4" s="4"/>
      <c r="P4" s="4"/>
      <c r="Q4" s="4"/>
      <c r="R4" s="4"/>
      <c r="S4" s="4"/>
      <c r="T4" s="4"/>
      <c r="U4" s="4"/>
      <c r="V4" s="7"/>
      <c r="W4" t="s">
        <v>5</v>
      </c>
      <c r="Z4" s="10"/>
      <c r="AA4" t="s">
        <v>9</v>
      </c>
    </row>
    <row r="5" spans="1:36" ht="23.25" x14ac:dyDescent="0.35">
      <c r="A5" s="4" t="s">
        <v>506</v>
      </c>
      <c r="B5" s="4"/>
      <c r="C5" s="4"/>
      <c r="D5" s="4"/>
      <c r="E5" s="4"/>
      <c r="F5" s="4"/>
      <c r="G5" s="4" t="s">
        <v>2224</v>
      </c>
      <c r="H5" s="4"/>
      <c r="I5" s="4"/>
      <c r="J5" s="4"/>
      <c r="K5" s="4"/>
      <c r="L5" s="4"/>
      <c r="M5" s="4"/>
      <c r="N5" s="4"/>
      <c r="O5" s="4"/>
      <c r="P5" s="4"/>
      <c r="Q5" s="4"/>
      <c r="R5" s="4"/>
      <c r="S5" s="4"/>
      <c r="T5" s="4"/>
      <c r="U5" s="4"/>
      <c r="V5" s="9"/>
      <c r="W5" t="s">
        <v>8</v>
      </c>
    </row>
    <row r="7" spans="1:36" ht="32.25" customHeight="1" x14ac:dyDescent="0.25">
      <c r="A7" s="472" t="s">
        <v>14</v>
      </c>
      <c r="B7" s="472"/>
      <c r="C7" s="472"/>
      <c r="D7" s="472"/>
      <c r="E7" s="472"/>
      <c r="F7" s="472"/>
      <c r="G7" s="434" t="s">
        <v>304</v>
      </c>
      <c r="H7" s="434"/>
      <c r="I7" s="434"/>
      <c r="J7" s="434"/>
      <c r="K7" s="434"/>
      <c r="L7" s="434"/>
      <c r="M7" s="434"/>
      <c r="N7" s="434"/>
      <c r="O7" s="434"/>
      <c r="P7" s="434"/>
      <c r="Q7" s="434"/>
      <c r="R7" s="434"/>
      <c r="S7" s="434"/>
      <c r="T7" s="434"/>
      <c r="U7" s="434"/>
      <c r="V7" s="473" t="s">
        <v>13</v>
      </c>
      <c r="W7" s="473"/>
      <c r="X7" s="473"/>
      <c r="Y7" s="453" t="s">
        <v>13</v>
      </c>
      <c r="Z7" s="453"/>
      <c r="AA7" s="453"/>
      <c r="AB7" s="453" t="s">
        <v>13</v>
      </c>
      <c r="AC7" s="453"/>
      <c r="AD7" s="453"/>
      <c r="AE7" s="471" t="s">
        <v>13</v>
      </c>
      <c r="AF7" s="471"/>
      <c r="AG7" s="471"/>
      <c r="AH7" s="454" t="s">
        <v>13</v>
      </c>
      <c r="AI7" s="455"/>
      <c r="AJ7" s="456"/>
    </row>
    <row r="8" spans="1:36" ht="32.25" customHeight="1" x14ac:dyDescent="0.25">
      <c r="A8" s="429" t="s">
        <v>21</v>
      </c>
      <c r="B8" s="465" t="s">
        <v>22</v>
      </c>
      <c r="C8" s="465" t="s">
        <v>23</v>
      </c>
      <c r="D8" s="467" t="s">
        <v>24</v>
      </c>
      <c r="E8" s="468"/>
      <c r="F8" s="465" t="s">
        <v>25</v>
      </c>
      <c r="G8" s="430" t="s">
        <v>26</v>
      </c>
      <c r="H8" s="430" t="s">
        <v>22</v>
      </c>
      <c r="I8" s="430" t="s">
        <v>27</v>
      </c>
      <c r="J8" s="430" t="s">
        <v>28</v>
      </c>
      <c r="K8" s="430" t="s">
        <v>29</v>
      </c>
      <c r="L8" s="430" t="s">
        <v>23</v>
      </c>
      <c r="M8" s="461" t="s">
        <v>30</v>
      </c>
      <c r="N8" s="124" t="s">
        <v>24</v>
      </c>
      <c r="O8" s="125"/>
      <c r="P8" s="125"/>
      <c r="Q8" s="125"/>
      <c r="R8" s="165"/>
      <c r="S8" s="430" t="s">
        <v>25</v>
      </c>
      <c r="T8" s="430" t="s">
        <v>31</v>
      </c>
      <c r="U8" s="430" t="s">
        <v>32</v>
      </c>
      <c r="V8" s="435" t="s">
        <v>16</v>
      </c>
      <c r="W8" s="436"/>
      <c r="X8" s="437"/>
      <c r="Y8" s="438" t="s">
        <v>17</v>
      </c>
      <c r="Z8" s="439"/>
      <c r="AA8" s="440"/>
      <c r="AB8" s="441" t="s">
        <v>18</v>
      </c>
      <c r="AC8" s="442"/>
      <c r="AD8" s="443"/>
      <c r="AE8" s="444" t="s">
        <v>19</v>
      </c>
      <c r="AF8" s="445"/>
      <c r="AG8" s="446"/>
      <c r="AH8" s="424" t="s">
        <v>20</v>
      </c>
      <c r="AI8" s="425"/>
      <c r="AJ8" s="426"/>
    </row>
    <row r="9" spans="1:36" ht="57.75" customHeight="1" x14ac:dyDescent="0.25">
      <c r="A9" s="464"/>
      <c r="B9" s="466"/>
      <c r="C9" s="466"/>
      <c r="D9" s="166" t="s">
        <v>48</v>
      </c>
      <c r="E9" s="166" t="s">
        <v>49</v>
      </c>
      <c r="F9" s="466"/>
      <c r="G9" s="430"/>
      <c r="H9" s="430"/>
      <c r="I9" s="430" t="s">
        <v>27</v>
      </c>
      <c r="J9" s="430"/>
      <c r="K9" s="430"/>
      <c r="L9" s="430" t="s">
        <v>23</v>
      </c>
      <c r="M9" s="461"/>
      <c r="N9" s="127">
        <v>2012</v>
      </c>
      <c r="O9" s="128">
        <v>2013</v>
      </c>
      <c r="P9" s="127">
        <v>2014</v>
      </c>
      <c r="Q9" s="127">
        <v>2015</v>
      </c>
      <c r="R9" s="127">
        <v>2016</v>
      </c>
      <c r="S9" s="430" t="s">
        <v>25</v>
      </c>
      <c r="T9" s="430"/>
      <c r="U9" s="430"/>
      <c r="V9" s="167" t="s">
        <v>33</v>
      </c>
      <c r="W9" s="167" t="s">
        <v>507</v>
      </c>
      <c r="X9" s="167" t="s">
        <v>35</v>
      </c>
      <c r="Y9" s="17" t="s">
        <v>36</v>
      </c>
      <c r="Z9" s="17" t="s">
        <v>37</v>
      </c>
      <c r="AA9" s="17" t="s">
        <v>38</v>
      </c>
      <c r="AB9" s="168" t="s">
        <v>39</v>
      </c>
      <c r="AC9" s="168" t="s">
        <v>40</v>
      </c>
      <c r="AD9" s="168" t="s">
        <v>41</v>
      </c>
      <c r="AE9" s="169" t="s">
        <v>42</v>
      </c>
      <c r="AF9" s="169" t="s">
        <v>43</v>
      </c>
      <c r="AG9" s="169" t="s">
        <v>44</v>
      </c>
      <c r="AH9" s="129" t="s">
        <v>45</v>
      </c>
      <c r="AI9" s="129" t="s">
        <v>46</v>
      </c>
      <c r="AJ9" s="129" t="s">
        <v>47</v>
      </c>
    </row>
    <row r="10" spans="1:36" s="87" customFormat="1" ht="156.75" hidden="1" customHeight="1" x14ac:dyDescent="0.25">
      <c r="A10" s="45" t="s">
        <v>508</v>
      </c>
      <c r="B10" s="490" t="s">
        <v>509</v>
      </c>
      <c r="C10" s="64" t="s">
        <v>510</v>
      </c>
      <c r="D10" s="170">
        <v>40909</v>
      </c>
      <c r="E10" s="170">
        <v>42705</v>
      </c>
      <c r="F10" s="45" t="s">
        <v>511</v>
      </c>
      <c r="G10" s="43" t="s">
        <v>512</v>
      </c>
      <c r="H10" s="45" t="s">
        <v>513</v>
      </c>
      <c r="I10" s="45" t="s">
        <v>514</v>
      </c>
      <c r="J10" s="45" t="s">
        <v>515</v>
      </c>
      <c r="K10" s="45" t="s">
        <v>516</v>
      </c>
      <c r="L10" s="45" t="s">
        <v>517</v>
      </c>
      <c r="M10" s="46">
        <v>1</v>
      </c>
      <c r="N10" s="46">
        <v>0.5</v>
      </c>
      <c r="O10" s="52">
        <v>0.5</v>
      </c>
      <c r="P10" s="160"/>
      <c r="Q10" s="86"/>
      <c r="R10" s="86"/>
      <c r="S10" s="45" t="s">
        <v>518</v>
      </c>
      <c r="T10" s="45"/>
      <c r="U10" s="45" t="s">
        <v>519</v>
      </c>
      <c r="V10" s="36"/>
      <c r="W10" s="171">
        <v>0</v>
      </c>
      <c r="X10" s="36" t="s">
        <v>318</v>
      </c>
      <c r="Y10" s="36" t="s">
        <v>520</v>
      </c>
      <c r="Z10" s="171">
        <v>0.5</v>
      </c>
      <c r="AA10" s="172" t="s">
        <v>521</v>
      </c>
      <c r="AB10" s="90" t="s">
        <v>522</v>
      </c>
      <c r="AC10" s="173" t="s">
        <v>523</v>
      </c>
      <c r="AD10" s="174"/>
      <c r="AE10" s="175"/>
      <c r="AF10" s="176"/>
      <c r="AG10" s="175"/>
      <c r="AH10" s="38"/>
      <c r="AI10" s="38"/>
      <c r="AJ10" s="38"/>
    </row>
    <row r="11" spans="1:36" s="87" customFormat="1" ht="171" customHeight="1" x14ac:dyDescent="0.25">
      <c r="A11" s="38"/>
      <c r="B11" s="477"/>
      <c r="C11" s="38"/>
      <c r="D11" s="38"/>
      <c r="E11" s="38"/>
      <c r="F11" s="38"/>
      <c r="G11" s="43" t="s">
        <v>512</v>
      </c>
      <c r="H11" s="45" t="s">
        <v>524</v>
      </c>
      <c r="I11" s="45" t="s">
        <v>525</v>
      </c>
      <c r="J11" s="45" t="s">
        <v>526</v>
      </c>
      <c r="K11" s="45" t="s">
        <v>527</v>
      </c>
      <c r="L11" s="45" t="s">
        <v>528</v>
      </c>
      <c r="M11" s="46">
        <v>1</v>
      </c>
      <c r="N11" s="51">
        <v>0.2</v>
      </c>
      <c r="O11" s="52">
        <v>0.2</v>
      </c>
      <c r="P11" s="53">
        <v>0.2</v>
      </c>
      <c r="Q11" s="54">
        <v>0.2</v>
      </c>
      <c r="R11" s="55">
        <v>0.2</v>
      </c>
      <c r="S11" s="45" t="s">
        <v>529</v>
      </c>
      <c r="T11" s="45" t="s">
        <v>530</v>
      </c>
      <c r="U11" s="45" t="s">
        <v>531</v>
      </c>
      <c r="V11" s="36" t="s">
        <v>532</v>
      </c>
      <c r="W11" s="108">
        <v>1</v>
      </c>
      <c r="X11" s="36"/>
      <c r="Y11" s="36" t="s">
        <v>532</v>
      </c>
      <c r="Z11" s="108">
        <v>1</v>
      </c>
      <c r="AA11" s="40"/>
      <c r="AB11" s="36" t="s">
        <v>532</v>
      </c>
      <c r="AC11" s="36" t="s">
        <v>533</v>
      </c>
      <c r="AD11" s="38"/>
      <c r="AE11" s="36" t="s">
        <v>532</v>
      </c>
      <c r="AF11" s="46">
        <v>1</v>
      </c>
      <c r="AG11" s="38"/>
      <c r="AH11" s="177" t="s">
        <v>532</v>
      </c>
      <c r="AI11" s="38"/>
      <c r="AJ11" s="38"/>
    </row>
    <row r="12" spans="1:36" s="87" customFormat="1" ht="120" hidden="1" x14ac:dyDescent="0.25">
      <c r="A12" s="38"/>
      <c r="B12" s="45"/>
      <c r="C12" s="38"/>
      <c r="D12" s="38"/>
      <c r="E12" s="38"/>
      <c r="F12" s="38"/>
      <c r="G12" s="43" t="s">
        <v>512</v>
      </c>
      <c r="H12" s="45"/>
      <c r="I12" s="45"/>
      <c r="J12" s="45" t="s">
        <v>534</v>
      </c>
      <c r="K12" s="45" t="s">
        <v>535</v>
      </c>
      <c r="L12" s="45" t="s">
        <v>536</v>
      </c>
      <c r="M12" s="46">
        <v>1</v>
      </c>
      <c r="N12" s="51">
        <v>0.33</v>
      </c>
      <c r="O12" s="52"/>
      <c r="P12" s="53">
        <v>0.33</v>
      </c>
      <c r="Q12" s="46"/>
      <c r="R12" s="55">
        <v>0.34</v>
      </c>
      <c r="S12" s="45" t="s">
        <v>529</v>
      </c>
      <c r="T12" s="45" t="s">
        <v>537</v>
      </c>
      <c r="U12" s="45" t="s">
        <v>538</v>
      </c>
      <c r="V12" s="36" t="s">
        <v>539</v>
      </c>
      <c r="W12" s="108">
        <v>1</v>
      </c>
      <c r="X12" s="36"/>
      <c r="Y12" s="36" t="s">
        <v>540</v>
      </c>
      <c r="Z12" s="108">
        <v>1</v>
      </c>
      <c r="AA12" s="40"/>
      <c r="AB12" s="178" t="s">
        <v>541</v>
      </c>
      <c r="AC12" s="36" t="s">
        <v>533</v>
      </c>
      <c r="AD12" s="38"/>
      <c r="AE12" s="38"/>
      <c r="AF12" s="46"/>
      <c r="AG12" s="38"/>
      <c r="AH12" s="179" t="s">
        <v>542</v>
      </c>
      <c r="AI12" s="38"/>
      <c r="AJ12" s="38"/>
    </row>
    <row r="13" spans="1:36" s="87" customFormat="1" ht="150" x14ac:dyDescent="0.25">
      <c r="A13" s="38"/>
      <c r="B13" s="38"/>
      <c r="C13" s="38"/>
      <c r="D13" s="38"/>
      <c r="E13" s="38"/>
      <c r="F13" s="38"/>
      <c r="G13" s="43" t="s">
        <v>512</v>
      </c>
      <c r="H13" s="45" t="s">
        <v>543</v>
      </c>
      <c r="I13" s="45" t="s">
        <v>544</v>
      </c>
      <c r="J13" s="45" t="s">
        <v>545</v>
      </c>
      <c r="K13" s="45" t="s">
        <v>546</v>
      </c>
      <c r="L13" s="45" t="s">
        <v>547</v>
      </c>
      <c r="M13" s="46">
        <v>1</v>
      </c>
      <c r="N13" s="51">
        <v>0.2</v>
      </c>
      <c r="O13" s="52">
        <v>0.2</v>
      </c>
      <c r="P13" s="53">
        <v>0.2</v>
      </c>
      <c r="Q13" s="54">
        <v>0.2</v>
      </c>
      <c r="R13" s="55">
        <v>0.2</v>
      </c>
      <c r="S13" s="45" t="s">
        <v>529</v>
      </c>
      <c r="T13" s="45" t="s">
        <v>530</v>
      </c>
      <c r="U13" s="45" t="s">
        <v>548</v>
      </c>
      <c r="V13" s="36" t="s">
        <v>549</v>
      </c>
      <c r="W13" s="108">
        <v>1</v>
      </c>
      <c r="X13" s="36"/>
      <c r="Y13" s="36" t="s">
        <v>549</v>
      </c>
      <c r="Z13" s="108">
        <v>1</v>
      </c>
      <c r="AA13" s="40"/>
      <c r="AB13" s="180" t="s">
        <v>549</v>
      </c>
      <c r="AC13" s="36" t="s">
        <v>533</v>
      </c>
      <c r="AD13" s="38"/>
      <c r="AE13" s="180" t="s">
        <v>549</v>
      </c>
      <c r="AF13" s="46">
        <v>1</v>
      </c>
      <c r="AG13" s="38"/>
      <c r="AH13" s="181" t="s">
        <v>549</v>
      </c>
      <c r="AI13" s="38"/>
      <c r="AJ13" s="38"/>
    </row>
    <row r="14" spans="1:36" s="87" customFormat="1" ht="135.75" hidden="1" customHeight="1" x14ac:dyDescent="0.25">
      <c r="A14" s="38"/>
      <c r="B14" s="38"/>
      <c r="C14" s="38"/>
      <c r="D14" s="38"/>
      <c r="E14" s="38"/>
      <c r="F14" s="38"/>
      <c r="G14" s="43" t="s">
        <v>512</v>
      </c>
      <c r="H14" s="38"/>
      <c r="I14" s="38"/>
      <c r="J14" s="45" t="s">
        <v>550</v>
      </c>
      <c r="K14" s="45" t="s">
        <v>551</v>
      </c>
      <c r="L14" s="45" t="s">
        <v>552</v>
      </c>
      <c r="M14" s="46">
        <v>1</v>
      </c>
      <c r="N14" s="51">
        <v>0.33</v>
      </c>
      <c r="O14" s="46"/>
      <c r="P14" s="53">
        <v>0.33</v>
      </c>
      <c r="Q14" s="46"/>
      <c r="R14" s="55">
        <v>0.34</v>
      </c>
      <c r="S14" s="45" t="s">
        <v>529</v>
      </c>
      <c r="T14" s="45" t="s">
        <v>553</v>
      </c>
      <c r="U14" s="45" t="s">
        <v>554</v>
      </c>
      <c r="V14" s="36" t="s">
        <v>555</v>
      </c>
      <c r="W14" s="108">
        <v>0.95</v>
      </c>
      <c r="X14" s="36" t="s">
        <v>556</v>
      </c>
      <c r="Y14" s="40"/>
      <c r="Z14" s="108" t="s">
        <v>557</v>
      </c>
      <c r="AA14" s="40"/>
      <c r="AB14" s="180" t="s">
        <v>555</v>
      </c>
      <c r="AC14" s="36" t="s">
        <v>533</v>
      </c>
      <c r="AD14" s="38"/>
      <c r="AE14" s="38"/>
      <c r="AF14" s="46"/>
      <c r="AG14" s="38"/>
      <c r="AH14" s="179" t="s">
        <v>558</v>
      </c>
      <c r="AI14" s="38"/>
      <c r="AJ14" s="38"/>
    </row>
    <row r="15" spans="1:36" s="87" customFormat="1" ht="120" hidden="1" x14ac:dyDescent="0.25">
      <c r="A15" s="38"/>
      <c r="B15" s="38"/>
      <c r="C15" s="38"/>
      <c r="D15" s="38"/>
      <c r="E15" s="38"/>
      <c r="F15" s="38"/>
      <c r="G15" s="43" t="s">
        <v>512</v>
      </c>
      <c r="H15" s="481" t="s">
        <v>559</v>
      </c>
      <c r="I15" s="483" t="s">
        <v>560</v>
      </c>
      <c r="J15" s="45" t="s">
        <v>561</v>
      </c>
      <c r="K15" s="45" t="s">
        <v>562</v>
      </c>
      <c r="L15" s="45" t="s">
        <v>563</v>
      </c>
      <c r="M15" s="46">
        <v>1</v>
      </c>
      <c r="N15" s="51">
        <v>1</v>
      </c>
      <c r="O15" s="46"/>
      <c r="P15" s="46"/>
      <c r="Q15" s="46"/>
      <c r="R15" s="46"/>
      <c r="S15" s="45" t="s">
        <v>529</v>
      </c>
      <c r="T15" s="45"/>
      <c r="U15" s="45" t="s">
        <v>564</v>
      </c>
      <c r="V15" s="36" t="s">
        <v>565</v>
      </c>
      <c r="W15" s="108">
        <v>1</v>
      </c>
      <c r="X15" s="40"/>
      <c r="Y15" s="40"/>
      <c r="Z15" s="40"/>
      <c r="AA15" s="40"/>
      <c r="AB15" s="38"/>
      <c r="AC15" s="38"/>
      <c r="AD15" s="38"/>
      <c r="AE15" s="38"/>
      <c r="AF15" s="46"/>
      <c r="AG15" s="38"/>
      <c r="AH15" s="38"/>
      <c r="AI15" s="38"/>
      <c r="AJ15" s="38"/>
    </row>
    <row r="16" spans="1:36" s="87" customFormat="1" ht="285" hidden="1" customHeight="1" x14ac:dyDescent="0.25">
      <c r="A16" s="38"/>
      <c r="B16" s="38"/>
      <c r="C16" s="38"/>
      <c r="D16" s="38"/>
      <c r="E16" s="38"/>
      <c r="F16" s="38"/>
      <c r="G16" s="43" t="s">
        <v>512</v>
      </c>
      <c r="H16" s="482"/>
      <c r="I16" s="484"/>
      <c r="J16" s="45" t="s">
        <v>566</v>
      </c>
      <c r="K16" s="45" t="s">
        <v>567</v>
      </c>
      <c r="L16" s="45" t="s">
        <v>568</v>
      </c>
      <c r="M16" s="46">
        <v>0.3</v>
      </c>
      <c r="N16" s="46"/>
      <c r="O16" s="46"/>
      <c r="P16" s="53">
        <v>1</v>
      </c>
      <c r="Q16" s="46"/>
      <c r="R16" s="46"/>
      <c r="S16" s="45" t="s">
        <v>529</v>
      </c>
      <c r="T16" s="45"/>
      <c r="U16" s="45"/>
      <c r="V16" s="40"/>
      <c r="W16" s="108"/>
      <c r="X16" s="40"/>
      <c r="Y16" s="40"/>
      <c r="Z16" s="108">
        <v>1</v>
      </c>
      <c r="AA16" s="40"/>
      <c r="AB16" s="36" t="s">
        <v>569</v>
      </c>
      <c r="AC16" s="36" t="s">
        <v>533</v>
      </c>
      <c r="AD16" s="38"/>
      <c r="AE16" s="38"/>
      <c r="AF16" s="46"/>
      <c r="AG16" s="38"/>
      <c r="AH16" s="38"/>
      <c r="AI16" s="38"/>
      <c r="AJ16" s="38"/>
    </row>
    <row r="17" spans="1:36" s="87" customFormat="1" ht="212.25" customHeight="1" x14ac:dyDescent="0.25">
      <c r="A17" s="38"/>
      <c r="B17" s="38"/>
      <c r="C17" s="38"/>
      <c r="D17" s="38"/>
      <c r="E17" s="38"/>
      <c r="F17" s="38"/>
      <c r="G17" s="43" t="s">
        <v>512</v>
      </c>
      <c r="H17" s="182"/>
      <c r="I17" s="112"/>
      <c r="J17" s="45"/>
      <c r="K17" s="45" t="s">
        <v>570</v>
      </c>
      <c r="L17" s="45" t="s">
        <v>571</v>
      </c>
      <c r="M17" s="46">
        <v>0.7</v>
      </c>
      <c r="N17" s="51">
        <v>0.2</v>
      </c>
      <c r="O17" s="52">
        <v>0.2</v>
      </c>
      <c r="P17" s="53">
        <v>0.2</v>
      </c>
      <c r="Q17" s="54">
        <v>0.2</v>
      </c>
      <c r="R17" s="55">
        <v>0.2</v>
      </c>
      <c r="S17" s="45" t="s">
        <v>529</v>
      </c>
      <c r="T17" s="45"/>
      <c r="U17" s="45"/>
      <c r="V17" s="36" t="s">
        <v>572</v>
      </c>
      <c r="W17" s="108">
        <v>1</v>
      </c>
      <c r="X17" s="36"/>
      <c r="Y17" s="36" t="s">
        <v>573</v>
      </c>
      <c r="Z17" s="108">
        <v>1</v>
      </c>
      <c r="AA17" s="40"/>
      <c r="AB17" s="36" t="s">
        <v>574</v>
      </c>
      <c r="AC17" s="36" t="s">
        <v>533</v>
      </c>
      <c r="AD17" s="38"/>
      <c r="AE17" s="36" t="s">
        <v>574</v>
      </c>
      <c r="AF17" s="46">
        <v>1</v>
      </c>
      <c r="AG17" s="38"/>
      <c r="AH17" s="177" t="s">
        <v>574</v>
      </c>
      <c r="AI17" s="38"/>
      <c r="AJ17" s="38"/>
    </row>
    <row r="18" spans="1:36" s="87" customFormat="1" ht="169.5" hidden="1" customHeight="1" x14ac:dyDescent="0.25">
      <c r="A18" s="38"/>
      <c r="B18" s="38"/>
      <c r="C18" s="38"/>
      <c r="D18" s="38"/>
      <c r="E18" s="38"/>
      <c r="F18" s="38"/>
      <c r="G18" s="43" t="s">
        <v>512</v>
      </c>
      <c r="H18" s="182"/>
      <c r="I18" s="112"/>
      <c r="J18" s="45" t="s">
        <v>575</v>
      </c>
      <c r="K18" s="45" t="s">
        <v>576</v>
      </c>
      <c r="L18" s="45" t="s">
        <v>118</v>
      </c>
      <c r="M18" s="46">
        <v>1</v>
      </c>
      <c r="N18" s="51"/>
      <c r="O18" s="52"/>
      <c r="P18" s="53">
        <v>1</v>
      </c>
      <c r="Q18" s="46"/>
      <c r="R18" s="46"/>
      <c r="S18" s="45" t="s">
        <v>529</v>
      </c>
      <c r="T18" s="45" t="s">
        <v>577</v>
      </c>
      <c r="U18" s="45"/>
      <c r="V18" s="36" t="s">
        <v>578</v>
      </c>
      <c r="W18" s="36" t="s">
        <v>579</v>
      </c>
      <c r="X18" s="36" t="s">
        <v>580</v>
      </c>
      <c r="Y18" s="36" t="s">
        <v>581</v>
      </c>
      <c r="Z18" s="36" t="s">
        <v>582</v>
      </c>
      <c r="AA18" s="36" t="s">
        <v>583</v>
      </c>
      <c r="AB18" s="36" t="s">
        <v>584</v>
      </c>
      <c r="AC18" s="36" t="s">
        <v>533</v>
      </c>
      <c r="AD18" s="38"/>
      <c r="AE18" s="38"/>
      <c r="AF18" s="46"/>
      <c r="AG18" s="38"/>
      <c r="AH18" s="38"/>
      <c r="AI18" s="38"/>
      <c r="AJ18" s="38"/>
    </row>
    <row r="19" spans="1:36" s="87" customFormat="1" ht="165" x14ac:dyDescent="0.25">
      <c r="A19" s="38"/>
      <c r="B19" s="38"/>
      <c r="C19" s="38"/>
      <c r="D19" s="38"/>
      <c r="E19" s="38"/>
      <c r="F19" s="38"/>
      <c r="G19" s="43" t="s">
        <v>512</v>
      </c>
      <c r="H19" s="45" t="s">
        <v>585</v>
      </c>
      <c r="I19" s="45" t="s">
        <v>560</v>
      </c>
      <c r="J19" s="45" t="s">
        <v>586</v>
      </c>
      <c r="K19" s="45" t="s">
        <v>587</v>
      </c>
      <c r="L19" s="45" t="s">
        <v>588</v>
      </c>
      <c r="M19" s="46">
        <v>1</v>
      </c>
      <c r="N19" s="51">
        <v>0.2</v>
      </c>
      <c r="O19" s="52">
        <v>0.2</v>
      </c>
      <c r="P19" s="53">
        <v>0.2</v>
      </c>
      <c r="Q19" s="54">
        <v>0.2</v>
      </c>
      <c r="R19" s="55">
        <v>0.2</v>
      </c>
      <c r="S19" s="45" t="s">
        <v>529</v>
      </c>
      <c r="T19" s="45"/>
      <c r="U19" s="45" t="s">
        <v>589</v>
      </c>
      <c r="V19" s="36" t="s">
        <v>590</v>
      </c>
      <c r="W19" s="108">
        <v>1</v>
      </c>
      <c r="X19" s="36"/>
      <c r="Y19" s="36" t="s">
        <v>591</v>
      </c>
      <c r="Z19" s="108">
        <v>1</v>
      </c>
      <c r="AA19" s="40"/>
      <c r="AB19" s="36" t="s">
        <v>592</v>
      </c>
      <c r="AC19" s="36" t="s">
        <v>533</v>
      </c>
      <c r="AD19" s="38"/>
      <c r="AE19" s="36" t="s">
        <v>592</v>
      </c>
      <c r="AF19" s="46">
        <v>1</v>
      </c>
      <c r="AG19" s="38"/>
      <c r="AH19" s="94" t="s">
        <v>593</v>
      </c>
      <c r="AI19" s="38"/>
      <c r="AJ19" s="38"/>
    </row>
    <row r="20" spans="1:36" s="87" customFormat="1" ht="126" customHeight="1" x14ac:dyDescent="0.25">
      <c r="A20" s="38"/>
      <c r="B20" s="38"/>
      <c r="C20" s="38"/>
      <c r="D20" s="38"/>
      <c r="E20" s="38"/>
      <c r="F20" s="38"/>
      <c r="G20" s="43" t="s">
        <v>512</v>
      </c>
      <c r="H20" s="183" t="s">
        <v>594</v>
      </c>
      <c r="I20" s="183" t="s">
        <v>595</v>
      </c>
      <c r="J20" s="184" t="s">
        <v>596</v>
      </c>
      <c r="K20" s="183" t="s">
        <v>597</v>
      </c>
      <c r="L20" s="183" t="s">
        <v>598</v>
      </c>
      <c r="M20" s="46">
        <v>1</v>
      </c>
      <c r="N20" s="183"/>
      <c r="O20" s="46" t="s">
        <v>599</v>
      </c>
      <c r="P20" s="46" t="s">
        <v>599</v>
      </c>
      <c r="Q20" s="54" t="s">
        <v>599</v>
      </c>
      <c r="R20" s="46" t="s">
        <v>599</v>
      </c>
      <c r="S20" s="183" t="s">
        <v>600</v>
      </c>
      <c r="T20" s="183" t="s">
        <v>601</v>
      </c>
      <c r="U20" s="183" t="s">
        <v>602</v>
      </c>
      <c r="V20" s="39"/>
      <c r="W20" s="108"/>
      <c r="X20" s="40"/>
      <c r="Y20" s="9" t="s">
        <v>603</v>
      </c>
      <c r="Z20" s="108">
        <v>0</v>
      </c>
      <c r="AA20" s="185" t="s">
        <v>604</v>
      </c>
      <c r="AB20" s="36" t="s">
        <v>605</v>
      </c>
      <c r="AC20" s="36" t="s">
        <v>606</v>
      </c>
      <c r="AD20" s="153"/>
      <c r="AE20" s="38"/>
      <c r="AF20" s="36" t="s">
        <v>607</v>
      </c>
      <c r="AG20" s="38"/>
      <c r="AH20" s="38" t="s">
        <v>608</v>
      </c>
      <c r="AI20" s="38"/>
      <c r="AJ20" s="38"/>
    </row>
    <row r="21" spans="1:36" s="87" customFormat="1" ht="126" hidden="1" customHeight="1" x14ac:dyDescent="0.25">
      <c r="A21" s="38"/>
      <c r="B21" s="38"/>
      <c r="C21" s="38"/>
      <c r="D21" s="38"/>
      <c r="E21" s="38"/>
      <c r="F21" s="38"/>
      <c r="G21" s="43" t="s">
        <v>512</v>
      </c>
      <c r="H21" s="183" t="s">
        <v>609</v>
      </c>
      <c r="I21" s="183" t="s">
        <v>610</v>
      </c>
      <c r="J21" s="183" t="s">
        <v>611</v>
      </c>
      <c r="K21" s="184" t="s">
        <v>612</v>
      </c>
      <c r="L21" s="183" t="s">
        <v>613</v>
      </c>
      <c r="M21" s="46">
        <v>0.33</v>
      </c>
      <c r="N21" s="51" t="s">
        <v>614</v>
      </c>
      <c r="O21" s="46"/>
      <c r="P21" s="46"/>
      <c r="Q21" s="183"/>
      <c r="R21" s="183"/>
      <c r="S21" s="183" t="s">
        <v>600</v>
      </c>
      <c r="T21" s="183" t="s">
        <v>615</v>
      </c>
      <c r="U21" s="183" t="s">
        <v>616</v>
      </c>
      <c r="V21" s="36" t="s">
        <v>617</v>
      </c>
      <c r="W21" s="108">
        <v>1</v>
      </c>
      <c r="X21" s="40"/>
      <c r="Y21" s="40"/>
      <c r="Z21" s="40"/>
      <c r="AA21" s="40"/>
      <c r="AB21" s="38"/>
      <c r="AC21" s="38"/>
      <c r="AD21" s="38"/>
      <c r="AE21" s="38"/>
      <c r="AF21" s="46"/>
      <c r="AG21" s="38"/>
      <c r="AH21" s="38"/>
      <c r="AI21" s="38"/>
      <c r="AJ21" s="38"/>
    </row>
    <row r="22" spans="1:36" s="87" customFormat="1" ht="129" hidden="1" customHeight="1" x14ac:dyDescent="0.25">
      <c r="A22" s="38"/>
      <c r="B22" s="38"/>
      <c r="C22" s="38"/>
      <c r="D22" s="38"/>
      <c r="E22" s="38"/>
      <c r="F22" s="38"/>
      <c r="G22" s="43" t="s">
        <v>512</v>
      </c>
      <c r="H22" s="183"/>
      <c r="I22" s="183"/>
      <c r="J22" s="183"/>
      <c r="K22" s="184" t="s">
        <v>618</v>
      </c>
      <c r="L22" s="183" t="s">
        <v>619</v>
      </c>
      <c r="M22" s="46">
        <v>0.33</v>
      </c>
      <c r="N22" s="46"/>
      <c r="O22" s="46" t="s">
        <v>614</v>
      </c>
      <c r="P22" s="46"/>
      <c r="Q22" s="183"/>
      <c r="R22" s="183"/>
      <c r="S22" s="183" t="s">
        <v>600</v>
      </c>
      <c r="T22" s="183" t="s">
        <v>620</v>
      </c>
      <c r="U22" s="183" t="s">
        <v>619</v>
      </c>
      <c r="V22" s="39"/>
      <c r="W22" s="108"/>
      <c r="X22" s="40"/>
      <c r="Y22" s="9" t="s">
        <v>603</v>
      </c>
      <c r="Z22" s="108">
        <v>0</v>
      </c>
      <c r="AA22" s="185" t="s">
        <v>621</v>
      </c>
      <c r="AB22" s="38"/>
      <c r="AC22" s="184" t="s">
        <v>622</v>
      </c>
      <c r="AD22" s="38"/>
      <c r="AE22" s="38"/>
      <c r="AF22" s="46"/>
      <c r="AG22" s="38"/>
      <c r="AH22" s="38"/>
      <c r="AI22" s="38"/>
      <c r="AJ22" s="38"/>
    </row>
    <row r="23" spans="1:36" s="87" customFormat="1" ht="152.25" hidden="1" customHeight="1" x14ac:dyDescent="0.25">
      <c r="A23" s="38"/>
      <c r="B23" s="38"/>
      <c r="C23" s="38"/>
      <c r="D23" s="38"/>
      <c r="E23" s="38"/>
      <c r="F23" s="38"/>
      <c r="G23" s="43" t="s">
        <v>512</v>
      </c>
      <c r="H23" s="183"/>
      <c r="I23" s="183"/>
      <c r="J23" s="184"/>
      <c r="K23" s="184" t="s">
        <v>623</v>
      </c>
      <c r="L23" s="183" t="s">
        <v>624</v>
      </c>
      <c r="M23" s="46">
        <v>0.34</v>
      </c>
      <c r="N23" s="46"/>
      <c r="O23" s="46"/>
      <c r="P23" s="53" t="s">
        <v>614</v>
      </c>
      <c r="Q23" s="183"/>
      <c r="R23" s="183"/>
      <c r="S23" s="183" t="s">
        <v>600</v>
      </c>
      <c r="T23" s="183" t="s">
        <v>625</v>
      </c>
      <c r="U23" s="183" t="s">
        <v>624</v>
      </c>
      <c r="V23" s="39" t="s">
        <v>503</v>
      </c>
      <c r="W23" s="108"/>
      <c r="X23" s="40"/>
      <c r="Y23" s="40" t="s">
        <v>503</v>
      </c>
      <c r="Z23" s="40"/>
      <c r="AA23" s="40"/>
      <c r="AB23" s="186" t="s">
        <v>626</v>
      </c>
      <c r="AC23" s="187" t="s">
        <v>627</v>
      </c>
      <c r="AD23" s="187" t="s">
        <v>628</v>
      </c>
      <c r="AE23" s="38"/>
      <c r="AF23" s="46"/>
      <c r="AG23" s="38"/>
      <c r="AH23" s="38"/>
      <c r="AI23" s="38"/>
      <c r="AJ23" s="38"/>
    </row>
    <row r="24" spans="1:36" s="87" customFormat="1" ht="75" hidden="1" x14ac:dyDescent="0.25">
      <c r="A24" s="38"/>
      <c r="B24" s="38"/>
      <c r="C24" s="38"/>
      <c r="D24" s="38"/>
      <c r="E24" s="38"/>
      <c r="F24" s="38"/>
      <c r="G24" s="43" t="s">
        <v>512</v>
      </c>
      <c r="H24" s="183" t="s">
        <v>629</v>
      </c>
      <c r="I24" s="183" t="s">
        <v>630</v>
      </c>
      <c r="J24" s="184" t="s">
        <v>631</v>
      </c>
      <c r="K24" s="184" t="s">
        <v>632</v>
      </c>
      <c r="L24" s="183" t="s">
        <v>633</v>
      </c>
      <c r="M24" s="46">
        <v>0.33</v>
      </c>
      <c r="N24" s="51" t="s">
        <v>614</v>
      </c>
      <c r="O24" s="183"/>
      <c r="P24" s="46"/>
      <c r="Q24" s="183"/>
      <c r="R24" s="183"/>
      <c r="S24" s="183" t="s">
        <v>600</v>
      </c>
      <c r="T24" s="183" t="s">
        <v>634</v>
      </c>
      <c r="U24" s="183"/>
      <c r="V24" s="188" t="s">
        <v>635</v>
      </c>
      <c r="W24" s="108">
        <v>1</v>
      </c>
      <c r="X24" s="40"/>
      <c r="Y24" s="40"/>
      <c r="Z24" s="40"/>
      <c r="AA24" s="40"/>
      <c r="AB24" s="38"/>
      <c r="AC24" s="38"/>
      <c r="AD24" s="38"/>
      <c r="AE24" s="38"/>
      <c r="AF24" s="46"/>
      <c r="AG24" s="38"/>
      <c r="AH24" s="38"/>
      <c r="AI24" s="38"/>
      <c r="AJ24" s="38"/>
    </row>
    <row r="25" spans="1:36" s="87" customFormat="1" ht="139.5" hidden="1" customHeight="1" x14ac:dyDescent="0.25">
      <c r="A25" s="38"/>
      <c r="B25" s="38"/>
      <c r="C25" s="38"/>
      <c r="D25" s="38"/>
      <c r="E25" s="38"/>
      <c r="F25" s="38"/>
      <c r="G25" s="43" t="s">
        <v>512</v>
      </c>
      <c r="H25" s="183"/>
      <c r="I25" s="183"/>
      <c r="J25" s="183"/>
      <c r="K25" s="184" t="s">
        <v>636</v>
      </c>
      <c r="L25" s="183" t="s">
        <v>637</v>
      </c>
      <c r="M25" s="46">
        <v>0.33</v>
      </c>
      <c r="N25" s="183"/>
      <c r="O25" s="46" t="s">
        <v>614</v>
      </c>
      <c r="P25" s="183"/>
      <c r="Q25" s="46"/>
      <c r="R25" s="46"/>
      <c r="S25" s="183" t="s">
        <v>600</v>
      </c>
      <c r="T25" s="183" t="s">
        <v>638</v>
      </c>
      <c r="U25" s="183" t="s">
        <v>639</v>
      </c>
      <c r="V25" s="39"/>
      <c r="W25" s="108"/>
      <c r="X25" s="40"/>
      <c r="Y25" s="9" t="s">
        <v>640</v>
      </c>
      <c r="Z25" s="108">
        <v>0</v>
      </c>
      <c r="AA25" s="78" t="s">
        <v>641</v>
      </c>
      <c r="AB25" s="38"/>
      <c r="AC25" s="38"/>
      <c r="AD25" s="153"/>
      <c r="AE25" s="38"/>
      <c r="AF25" s="46"/>
      <c r="AG25" s="38"/>
      <c r="AH25" s="38"/>
      <c r="AI25" s="38"/>
      <c r="AJ25" s="38"/>
    </row>
    <row r="26" spans="1:36" s="87" customFormat="1" ht="120" hidden="1" x14ac:dyDescent="0.25">
      <c r="A26" s="38"/>
      <c r="B26" s="38"/>
      <c r="C26" s="38"/>
      <c r="D26" s="38"/>
      <c r="E26" s="38"/>
      <c r="F26" s="38"/>
      <c r="G26" s="43" t="s">
        <v>512</v>
      </c>
      <c r="H26" s="183"/>
      <c r="I26" s="183"/>
      <c r="J26" s="183"/>
      <c r="K26" s="184" t="s">
        <v>642</v>
      </c>
      <c r="L26" s="183" t="s">
        <v>624</v>
      </c>
      <c r="M26" s="46">
        <v>0.34</v>
      </c>
      <c r="N26" s="51" t="s">
        <v>614</v>
      </c>
      <c r="O26" s="183"/>
      <c r="P26" s="183"/>
      <c r="Q26" s="46"/>
      <c r="R26" s="46"/>
      <c r="S26" s="183" t="s">
        <v>600</v>
      </c>
      <c r="T26" s="183" t="s">
        <v>625</v>
      </c>
      <c r="U26" s="183" t="s">
        <v>624</v>
      </c>
      <c r="V26" s="189" t="s">
        <v>643</v>
      </c>
      <c r="W26" s="108">
        <v>0.94</v>
      </c>
      <c r="X26" s="189" t="s">
        <v>644</v>
      </c>
      <c r="Y26" s="40"/>
      <c r="Z26" s="40"/>
      <c r="AA26" s="40"/>
      <c r="AB26" s="38"/>
      <c r="AC26" s="38"/>
      <c r="AD26" s="38"/>
      <c r="AE26" s="38"/>
      <c r="AF26" s="46"/>
      <c r="AG26" s="38"/>
      <c r="AH26" s="38"/>
      <c r="AI26" s="38"/>
      <c r="AJ26" s="38"/>
    </row>
    <row r="27" spans="1:36" s="87" customFormat="1" ht="258.75" hidden="1" customHeight="1" x14ac:dyDescent="0.25">
      <c r="A27" s="38"/>
      <c r="B27" s="38"/>
      <c r="C27" s="38"/>
      <c r="D27" s="38"/>
      <c r="E27" s="38"/>
      <c r="F27" s="38"/>
      <c r="G27" s="43" t="s">
        <v>512</v>
      </c>
      <c r="H27" s="183" t="s">
        <v>645</v>
      </c>
      <c r="I27" s="190" t="s">
        <v>646</v>
      </c>
      <c r="J27" s="184" t="s">
        <v>647</v>
      </c>
      <c r="K27" s="184" t="s">
        <v>648</v>
      </c>
      <c r="L27" s="190" t="s">
        <v>649</v>
      </c>
      <c r="M27" s="46">
        <v>0.25</v>
      </c>
      <c r="N27" s="51">
        <v>1</v>
      </c>
      <c r="O27" s="191"/>
      <c r="P27" s="191"/>
      <c r="Q27" s="191"/>
      <c r="R27" s="191"/>
      <c r="S27" s="190" t="s">
        <v>650</v>
      </c>
      <c r="T27" s="38"/>
      <c r="U27" s="190" t="s">
        <v>651</v>
      </c>
      <c r="V27" s="189" t="s">
        <v>652</v>
      </c>
      <c r="W27" s="108">
        <v>1</v>
      </c>
      <c r="X27" s="40"/>
      <c r="Y27" s="40"/>
      <c r="Z27" s="40"/>
      <c r="AA27" s="40"/>
      <c r="AB27" s="38"/>
      <c r="AC27" s="38"/>
      <c r="AD27" s="38"/>
      <c r="AE27" s="38"/>
      <c r="AF27" s="46"/>
      <c r="AG27" s="38"/>
      <c r="AH27" s="38"/>
      <c r="AI27" s="38"/>
      <c r="AJ27" s="38"/>
    </row>
    <row r="28" spans="1:36" s="87" customFormat="1" ht="122.25" customHeight="1" x14ac:dyDescent="0.25">
      <c r="A28" s="38"/>
      <c r="B28" s="38"/>
      <c r="C28" s="38"/>
      <c r="D28" s="38"/>
      <c r="E28" s="38"/>
      <c r="F28" s="38"/>
      <c r="G28" s="43" t="s">
        <v>512</v>
      </c>
      <c r="H28" s="38"/>
      <c r="I28" s="38"/>
      <c r="J28" s="38"/>
      <c r="K28" s="184" t="s">
        <v>653</v>
      </c>
      <c r="L28" s="190" t="s">
        <v>654</v>
      </c>
      <c r="M28" s="46">
        <v>0.75</v>
      </c>
      <c r="N28" s="191"/>
      <c r="O28" s="52">
        <v>0.25</v>
      </c>
      <c r="P28" s="192">
        <v>0.25</v>
      </c>
      <c r="Q28" s="193">
        <v>0.25</v>
      </c>
      <c r="R28" s="194">
        <v>0.25</v>
      </c>
      <c r="S28" s="190" t="s">
        <v>650</v>
      </c>
      <c r="T28" s="38"/>
      <c r="U28" s="190" t="s">
        <v>655</v>
      </c>
      <c r="V28" s="39"/>
      <c r="W28" s="108"/>
      <c r="X28" s="40"/>
      <c r="Y28" s="189" t="s">
        <v>656</v>
      </c>
      <c r="Z28" s="108">
        <v>1</v>
      </c>
      <c r="AA28" s="40"/>
      <c r="AB28" s="90" t="s">
        <v>657</v>
      </c>
      <c r="AC28" s="90" t="s">
        <v>658</v>
      </c>
      <c r="AD28" s="38"/>
      <c r="AE28" s="90" t="s">
        <v>659</v>
      </c>
      <c r="AF28" s="46">
        <v>1</v>
      </c>
      <c r="AG28" s="38"/>
      <c r="AH28" s="184" t="s">
        <v>660</v>
      </c>
      <c r="AI28" s="38"/>
      <c r="AJ28" s="38"/>
    </row>
    <row r="29" spans="1:36" s="87" customFormat="1" ht="180" hidden="1" x14ac:dyDescent="0.25">
      <c r="A29" s="38"/>
      <c r="B29" s="38"/>
      <c r="C29" s="38"/>
      <c r="D29" s="38"/>
      <c r="E29" s="38"/>
      <c r="F29" s="38"/>
      <c r="G29" s="43" t="s">
        <v>512</v>
      </c>
      <c r="H29" s="183" t="s">
        <v>661</v>
      </c>
      <c r="I29" s="190" t="s">
        <v>662</v>
      </c>
      <c r="J29" s="184" t="s">
        <v>663</v>
      </c>
      <c r="K29" s="145" t="s">
        <v>664</v>
      </c>
      <c r="L29" s="145" t="s">
        <v>665</v>
      </c>
      <c r="M29" s="46">
        <v>0.3</v>
      </c>
      <c r="N29" s="51">
        <v>1</v>
      </c>
      <c r="O29" s="52"/>
      <c r="P29" s="46"/>
      <c r="Q29" s="46"/>
      <c r="R29" s="46"/>
      <c r="S29" s="183" t="s">
        <v>666</v>
      </c>
      <c r="T29" s="485" t="s">
        <v>667</v>
      </c>
      <c r="U29" s="485" t="s">
        <v>668</v>
      </c>
      <c r="V29" s="189" t="s">
        <v>669</v>
      </c>
      <c r="W29" s="108">
        <v>1</v>
      </c>
      <c r="X29" s="189"/>
      <c r="Y29" s="189" t="s">
        <v>670</v>
      </c>
      <c r="Z29" s="40"/>
      <c r="AA29" s="40"/>
      <c r="AB29" s="38"/>
      <c r="AC29" s="38"/>
      <c r="AD29" s="38"/>
      <c r="AE29" s="38"/>
      <c r="AF29" s="46"/>
      <c r="AG29" s="38"/>
      <c r="AH29" s="38"/>
      <c r="AI29" s="38"/>
      <c r="AJ29" s="38"/>
    </row>
    <row r="30" spans="1:36" s="87" customFormat="1" ht="182.25" hidden="1" customHeight="1" x14ac:dyDescent="0.25">
      <c r="A30" s="38"/>
      <c r="B30" s="38"/>
      <c r="C30" s="38"/>
      <c r="D30" s="38"/>
      <c r="E30" s="38"/>
      <c r="F30" s="38"/>
      <c r="G30" s="43" t="s">
        <v>512</v>
      </c>
      <c r="H30" s="145"/>
      <c r="I30" s="145"/>
      <c r="J30" s="145"/>
      <c r="K30" s="145" t="s">
        <v>671</v>
      </c>
      <c r="L30" s="145" t="s">
        <v>672</v>
      </c>
      <c r="M30" s="46">
        <v>0.7</v>
      </c>
      <c r="N30" s="46"/>
      <c r="O30" s="46">
        <v>0.5</v>
      </c>
      <c r="P30" s="53">
        <v>0.5</v>
      </c>
      <c r="Q30" s="46"/>
      <c r="R30" s="46"/>
      <c r="S30" s="183" t="s">
        <v>666</v>
      </c>
      <c r="T30" s="486"/>
      <c r="U30" s="486"/>
      <c r="V30" s="39"/>
      <c r="W30" s="108"/>
      <c r="X30" s="40"/>
      <c r="Y30" s="9"/>
      <c r="Z30" s="108">
        <v>1</v>
      </c>
      <c r="AA30" s="195" t="s">
        <v>673</v>
      </c>
      <c r="AB30" s="93" t="s">
        <v>674</v>
      </c>
      <c r="AC30" s="90" t="s">
        <v>658</v>
      </c>
      <c r="AD30" s="38"/>
      <c r="AE30" s="38"/>
      <c r="AF30" s="46"/>
      <c r="AG30" s="38"/>
      <c r="AH30" s="38"/>
      <c r="AI30" s="38"/>
      <c r="AJ30" s="38"/>
    </row>
    <row r="31" spans="1:36" s="87" customFormat="1" ht="241.5" customHeight="1" x14ac:dyDescent="0.25">
      <c r="A31" s="38"/>
      <c r="B31" s="38"/>
      <c r="C31" s="38"/>
      <c r="D31" s="38"/>
      <c r="E31" s="38"/>
      <c r="F31" s="38"/>
      <c r="G31" s="43" t="s">
        <v>512</v>
      </c>
      <c r="H31" s="196" t="s">
        <v>675</v>
      </c>
      <c r="I31" s="196" t="s">
        <v>676</v>
      </c>
      <c r="J31" s="196" t="s">
        <v>677</v>
      </c>
      <c r="K31" s="196" t="s">
        <v>678</v>
      </c>
      <c r="L31" s="196" t="s">
        <v>679</v>
      </c>
      <c r="M31" s="46">
        <v>1</v>
      </c>
      <c r="N31" s="51">
        <v>0.2</v>
      </c>
      <c r="O31" s="52">
        <v>0.2</v>
      </c>
      <c r="P31" s="53">
        <v>0.2</v>
      </c>
      <c r="Q31" s="54">
        <v>0.2</v>
      </c>
      <c r="R31" s="55">
        <v>0.2</v>
      </c>
      <c r="S31" s="145" t="s">
        <v>680</v>
      </c>
      <c r="T31" s="85" t="s">
        <v>681</v>
      </c>
      <c r="U31" s="487" t="s">
        <v>682</v>
      </c>
      <c r="V31" s="195" t="s">
        <v>683</v>
      </c>
      <c r="W31" s="108">
        <v>1</v>
      </c>
      <c r="X31" s="195"/>
      <c r="Y31" s="195" t="s">
        <v>684</v>
      </c>
      <c r="Z31" s="108">
        <v>1</v>
      </c>
      <c r="AA31" s="40"/>
      <c r="AB31" s="90" t="s">
        <v>684</v>
      </c>
      <c r="AC31" s="90" t="s">
        <v>658</v>
      </c>
      <c r="AD31" s="38"/>
      <c r="AE31" s="90" t="s">
        <v>685</v>
      </c>
      <c r="AF31" s="46">
        <v>1</v>
      </c>
      <c r="AG31" s="38"/>
      <c r="AH31" s="196" t="s">
        <v>686</v>
      </c>
      <c r="AI31" s="38"/>
      <c r="AJ31" s="38"/>
    </row>
    <row r="32" spans="1:36" s="87" customFormat="1" ht="165" x14ac:dyDescent="0.25">
      <c r="A32" s="38"/>
      <c r="B32" s="38"/>
      <c r="C32" s="38"/>
      <c r="D32" s="38"/>
      <c r="E32" s="38"/>
      <c r="F32" s="38"/>
      <c r="G32" s="43" t="s">
        <v>512</v>
      </c>
      <c r="H32" s="196"/>
      <c r="I32" s="196" t="s">
        <v>687</v>
      </c>
      <c r="J32" s="196" t="s">
        <v>688</v>
      </c>
      <c r="K32" s="196" t="s">
        <v>689</v>
      </c>
      <c r="L32" s="196" t="s">
        <v>679</v>
      </c>
      <c r="M32" s="46">
        <v>1</v>
      </c>
      <c r="N32" s="51">
        <v>0.2</v>
      </c>
      <c r="O32" s="52">
        <v>0.2</v>
      </c>
      <c r="P32" s="53">
        <v>0.2</v>
      </c>
      <c r="Q32" s="54">
        <v>0.2</v>
      </c>
      <c r="R32" s="55">
        <v>0.2</v>
      </c>
      <c r="S32" s="145" t="s">
        <v>680</v>
      </c>
      <c r="T32" s="85" t="s">
        <v>681</v>
      </c>
      <c r="U32" s="488"/>
      <c r="V32" s="195" t="s">
        <v>690</v>
      </c>
      <c r="W32" s="108">
        <v>1</v>
      </c>
      <c r="X32" s="195"/>
      <c r="Y32" s="195" t="s">
        <v>691</v>
      </c>
      <c r="Z32" s="108">
        <v>1</v>
      </c>
      <c r="AA32" s="40"/>
      <c r="AB32" s="90" t="s">
        <v>691</v>
      </c>
      <c r="AC32" s="90" t="s">
        <v>658</v>
      </c>
      <c r="AD32" s="38"/>
      <c r="AE32" s="90" t="s">
        <v>692</v>
      </c>
      <c r="AF32" s="46">
        <v>1</v>
      </c>
      <c r="AG32" s="38"/>
      <c r="AH32" s="60" t="s">
        <v>693</v>
      </c>
      <c r="AI32" s="38"/>
      <c r="AJ32" s="38"/>
    </row>
    <row r="33" spans="1:36" s="87" customFormat="1" ht="171" x14ac:dyDescent="0.25">
      <c r="A33" s="38"/>
      <c r="B33" s="38"/>
      <c r="C33" s="38"/>
      <c r="D33" s="38"/>
      <c r="E33" s="38"/>
      <c r="F33" s="38"/>
      <c r="G33" s="43" t="s">
        <v>512</v>
      </c>
      <c r="H33" s="196"/>
      <c r="I33" s="196" t="s">
        <v>694</v>
      </c>
      <c r="J33" s="196" t="s">
        <v>695</v>
      </c>
      <c r="K33" s="196" t="s">
        <v>696</v>
      </c>
      <c r="L33" s="196" t="s">
        <v>697</v>
      </c>
      <c r="M33" s="46">
        <v>1</v>
      </c>
      <c r="N33" s="51">
        <v>0.2</v>
      </c>
      <c r="O33" s="52">
        <v>0.2</v>
      </c>
      <c r="P33" s="53">
        <v>0.2</v>
      </c>
      <c r="Q33" s="54">
        <v>0.2</v>
      </c>
      <c r="R33" s="55">
        <v>0.2</v>
      </c>
      <c r="S33" s="145" t="s">
        <v>680</v>
      </c>
      <c r="T33" s="145" t="s">
        <v>698</v>
      </c>
      <c r="U33" s="488"/>
      <c r="V33" s="195" t="s">
        <v>699</v>
      </c>
      <c r="W33" s="108">
        <v>1</v>
      </c>
      <c r="X33" s="195"/>
      <c r="Y33" s="195" t="s">
        <v>700</v>
      </c>
      <c r="Z33" s="108">
        <v>1</v>
      </c>
      <c r="AA33" s="40"/>
      <c r="AB33" s="90" t="s">
        <v>701</v>
      </c>
      <c r="AC33" s="90" t="s">
        <v>658</v>
      </c>
      <c r="AD33" s="38"/>
      <c r="AE33" s="90" t="s">
        <v>702</v>
      </c>
      <c r="AF33" s="46">
        <v>1</v>
      </c>
      <c r="AG33" s="38"/>
      <c r="AH33" s="60" t="s">
        <v>703</v>
      </c>
      <c r="AI33" s="38"/>
      <c r="AJ33" s="38"/>
    </row>
    <row r="34" spans="1:36" s="87" customFormat="1" ht="234.75" customHeight="1" thickBot="1" x14ac:dyDescent="0.3">
      <c r="A34" s="38"/>
      <c r="B34" s="38"/>
      <c r="C34" s="38"/>
      <c r="D34" s="38"/>
      <c r="E34" s="38"/>
      <c r="F34" s="38"/>
      <c r="G34" s="43" t="s">
        <v>512</v>
      </c>
      <c r="H34" s="196" t="s">
        <v>704</v>
      </c>
      <c r="I34" s="196" t="s">
        <v>705</v>
      </c>
      <c r="J34" s="196" t="s">
        <v>706</v>
      </c>
      <c r="K34" s="196" t="s">
        <v>707</v>
      </c>
      <c r="L34" s="196" t="s">
        <v>679</v>
      </c>
      <c r="M34" s="46">
        <v>1</v>
      </c>
      <c r="N34" s="51">
        <v>0.2</v>
      </c>
      <c r="O34" s="52">
        <v>0.2</v>
      </c>
      <c r="P34" s="53">
        <v>0.2</v>
      </c>
      <c r="Q34" s="54">
        <v>0.2</v>
      </c>
      <c r="R34" s="55">
        <v>0.2</v>
      </c>
      <c r="S34" s="145" t="s">
        <v>680</v>
      </c>
      <c r="T34" s="145" t="s">
        <v>708</v>
      </c>
      <c r="U34" s="488"/>
      <c r="V34" s="195" t="s">
        <v>709</v>
      </c>
      <c r="W34" s="108">
        <v>0.67</v>
      </c>
      <c r="X34" s="195" t="s">
        <v>710</v>
      </c>
      <c r="Y34" s="195" t="s">
        <v>711</v>
      </c>
      <c r="Z34" s="108">
        <v>1</v>
      </c>
      <c r="AA34" s="40"/>
      <c r="AB34" s="90" t="s">
        <v>711</v>
      </c>
      <c r="AC34" s="90" t="s">
        <v>658</v>
      </c>
      <c r="AD34" s="38"/>
      <c r="AE34" s="90" t="s">
        <v>712</v>
      </c>
      <c r="AF34" s="46">
        <v>1</v>
      </c>
      <c r="AG34" s="38"/>
      <c r="AH34" s="197" t="s">
        <v>713</v>
      </c>
      <c r="AI34" s="38"/>
      <c r="AJ34" s="38"/>
    </row>
    <row r="35" spans="1:36" s="87" customFormat="1" ht="180" hidden="1" customHeight="1" thickBot="1" x14ac:dyDescent="0.3">
      <c r="A35" s="38"/>
      <c r="B35" s="38"/>
      <c r="C35" s="38"/>
      <c r="D35" s="38"/>
      <c r="E35" s="38"/>
      <c r="F35" s="38"/>
      <c r="G35" s="43" t="s">
        <v>512</v>
      </c>
      <c r="H35" s="196"/>
      <c r="I35" s="196" t="s">
        <v>714</v>
      </c>
      <c r="J35" s="196" t="s">
        <v>715</v>
      </c>
      <c r="K35" s="196" t="s">
        <v>716</v>
      </c>
      <c r="L35" s="196" t="s">
        <v>717</v>
      </c>
      <c r="M35" s="46">
        <v>1</v>
      </c>
      <c r="N35" s="86"/>
      <c r="O35" s="46">
        <v>1</v>
      </c>
      <c r="P35" s="86"/>
      <c r="Q35" s="86"/>
      <c r="R35" s="86"/>
      <c r="S35" s="145" t="s">
        <v>680</v>
      </c>
      <c r="T35" s="145" t="s">
        <v>718</v>
      </c>
      <c r="U35" s="489"/>
      <c r="V35" s="39"/>
      <c r="W35" s="108"/>
      <c r="X35" s="40"/>
      <c r="Y35" s="9"/>
      <c r="Z35" s="46">
        <v>0</v>
      </c>
      <c r="AA35" s="198" t="s">
        <v>719</v>
      </c>
      <c r="AB35" s="38"/>
      <c r="AC35" s="38"/>
      <c r="AD35" s="38"/>
      <c r="AE35" s="38"/>
      <c r="AF35" s="46"/>
      <c r="AG35" s="38"/>
      <c r="AH35" s="38"/>
      <c r="AI35" s="38"/>
      <c r="AJ35" s="38"/>
    </row>
    <row r="36" spans="1:36" s="87" customFormat="1" ht="153.75" customHeight="1" thickBot="1" x14ac:dyDescent="0.3">
      <c r="A36" s="38"/>
      <c r="B36" s="38"/>
      <c r="C36" s="38"/>
      <c r="D36" s="38"/>
      <c r="E36" s="38"/>
      <c r="F36" s="38"/>
      <c r="G36" s="43" t="s">
        <v>512</v>
      </c>
      <c r="H36" s="45" t="s">
        <v>720</v>
      </c>
      <c r="I36" s="45" t="s">
        <v>721</v>
      </c>
      <c r="J36" s="45" t="s">
        <v>722</v>
      </c>
      <c r="K36" s="45" t="s">
        <v>723</v>
      </c>
      <c r="L36" s="45" t="s">
        <v>724</v>
      </c>
      <c r="M36" s="46">
        <v>1</v>
      </c>
      <c r="N36" s="51">
        <v>0.2</v>
      </c>
      <c r="O36" s="52">
        <v>0.2</v>
      </c>
      <c r="P36" s="53">
        <v>0.2</v>
      </c>
      <c r="Q36" s="54">
        <v>0.2</v>
      </c>
      <c r="R36" s="55">
        <v>0.2</v>
      </c>
      <c r="S36" s="145" t="s">
        <v>725</v>
      </c>
      <c r="T36" s="145" t="s">
        <v>726</v>
      </c>
      <c r="U36" s="487" t="s">
        <v>727</v>
      </c>
      <c r="V36" s="72" t="s">
        <v>728</v>
      </c>
      <c r="W36" s="108">
        <v>1</v>
      </c>
      <c r="X36" s="72"/>
      <c r="Y36" s="72" t="s">
        <v>728</v>
      </c>
      <c r="Z36" s="108">
        <v>1</v>
      </c>
      <c r="AA36" s="40"/>
      <c r="AB36" s="199" t="s">
        <v>729</v>
      </c>
      <c r="AC36" s="90" t="s">
        <v>658</v>
      </c>
      <c r="AD36" s="38"/>
      <c r="AE36" s="90" t="s">
        <v>730</v>
      </c>
      <c r="AF36" s="46">
        <v>1</v>
      </c>
      <c r="AG36" s="38"/>
      <c r="AH36" s="45" t="s">
        <v>731</v>
      </c>
      <c r="AI36" s="38"/>
      <c r="AJ36" s="38"/>
    </row>
    <row r="37" spans="1:36" s="87" customFormat="1" ht="168.75" customHeight="1" x14ac:dyDescent="0.25">
      <c r="A37" s="38"/>
      <c r="B37" s="38"/>
      <c r="C37" s="38"/>
      <c r="D37" s="38"/>
      <c r="E37" s="38"/>
      <c r="F37" s="38"/>
      <c r="G37" s="43" t="s">
        <v>512</v>
      </c>
      <c r="H37" s="45" t="s">
        <v>732</v>
      </c>
      <c r="I37" s="45" t="s">
        <v>733</v>
      </c>
      <c r="J37" s="45" t="s">
        <v>734</v>
      </c>
      <c r="K37" s="45" t="s">
        <v>735</v>
      </c>
      <c r="L37" s="45" t="s">
        <v>724</v>
      </c>
      <c r="M37" s="46">
        <v>1</v>
      </c>
      <c r="N37" s="51">
        <v>0.2</v>
      </c>
      <c r="O37" s="52">
        <v>0.2</v>
      </c>
      <c r="P37" s="53">
        <v>0.2</v>
      </c>
      <c r="Q37" s="54">
        <v>0.2</v>
      </c>
      <c r="R37" s="55">
        <v>0.2</v>
      </c>
      <c r="S37" s="145" t="s">
        <v>725</v>
      </c>
      <c r="T37" s="145" t="s">
        <v>726</v>
      </c>
      <c r="U37" s="489"/>
      <c r="V37" s="72" t="s">
        <v>736</v>
      </c>
      <c r="W37" s="108">
        <v>1</v>
      </c>
      <c r="X37" s="72"/>
      <c r="Y37" s="72" t="s">
        <v>736</v>
      </c>
      <c r="Z37" s="108">
        <v>1</v>
      </c>
      <c r="AA37" s="40"/>
      <c r="AB37" s="199" t="s">
        <v>737</v>
      </c>
      <c r="AC37" s="90" t="s">
        <v>658</v>
      </c>
      <c r="AD37" s="38"/>
      <c r="AE37" s="90" t="s">
        <v>738</v>
      </c>
      <c r="AF37" s="46">
        <v>1</v>
      </c>
      <c r="AG37" s="38"/>
      <c r="AH37" s="45" t="s">
        <v>739</v>
      </c>
      <c r="AI37" s="38"/>
      <c r="AJ37" s="38"/>
    </row>
    <row r="38" spans="1:36" s="87" customFormat="1" ht="190.5" customHeight="1" x14ac:dyDescent="0.25">
      <c r="A38" s="38"/>
      <c r="B38" s="38"/>
      <c r="C38" s="38"/>
      <c r="D38" s="38"/>
      <c r="E38" s="38"/>
      <c r="F38" s="38"/>
      <c r="G38" s="43" t="s">
        <v>512</v>
      </c>
      <c r="H38" s="45" t="s">
        <v>740</v>
      </c>
      <c r="I38" s="45" t="s">
        <v>741</v>
      </c>
      <c r="J38" s="45" t="s">
        <v>742</v>
      </c>
      <c r="K38" s="45" t="s">
        <v>743</v>
      </c>
      <c r="L38" s="45" t="s">
        <v>744</v>
      </c>
      <c r="M38" s="46">
        <v>1</v>
      </c>
      <c r="N38" s="51">
        <v>0.2</v>
      </c>
      <c r="O38" s="46">
        <v>0.2</v>
      </c>
      <c r="P38" s="53">
        <v>0.2</v>
      </c>
      <c r="Q38" s="54">
        <v>0.2</v>
      </c>
      <c r="R38" s="55">
        <v>0.2</v>
      </c>
      <c r="S38" s="145" t="s">
        <v>745</v>
      </c>
      <c r="T38" s="145" t="s">
        <v>746</v>
      </c>
      <c r="U38" s="145" t="s">
        <v>747</v>
      </c>
      <c r="V38" s="200" t="s">
        <v>748</v>
      </c>
      <c r="W38" s="171">
        <v>1</v>
      </c>
      <c r="X38" s="40"/>
      <c r="Y38" s="9" t="s">
        <v>749</v>
      </c>
      <c r="Z38" s="171">
        <v>0.25</v>
      </c>
      <c r="AA38" s="201" t="s">
        <v>750</v>
      </c>
      <c r="AB38" s="90" t="s">
        <v>751</v>
      </c>
      <c r="AC38" s="90" t="s">
        <v>658</v>
      </c>
      <c r="AD38" s="38"/>
      <c r="AE38" s="90" t="s">
        <v>752</v>
      </c>
      <c r="AF38" s="46">
        <v>0.5</v>
      </c>
      <c r="AG38" s="90" t="s">
        <v>753</v>
      </c>
      <c r="AH38" s="45" t="s">
        <v>754</v>
      </c>
      <c r="AI38" s="38"/>
      <c r="AJ38" s="38"/>
    </row>
    <row r="39" spans="1:36" s="87" customFormat="1" ht="97.5" customHeight="1" x14ac:dyDescent="0.25">
      <c r="A39" s="38"/>
      <c r="B39" s="38"/>
      <c r="C39" s="38"/>
      <c r="D39" s="38"/>
      <c r="E39" s="38"/>
      <c r="F39" s="38"/>
      <c r="G39" s="43" t="s">
        <v>512</v>
      </c>
      <c r="H39" s="45" t="s">
        <v>755</v>
      </c>
      <c r="I39" s="45" t="s">
        <v>756</v>
      </c>
      <c r="J39" s="45" t="s">
        <v>757</v>
      </c>
      <c r="K39" s="45" t="s">
        <v>758</v>
      </c>
      <c r="L39" s="45" t="s">
        <v>421</v>
      </c>
      <c r="M39" s="46">
        <v>1</v>
      </c>
      <c r="N39" s="46">
        <v>0.5</v>
      </c>
      <c r="O39" s="46">
        <v>0.5</v>
      </c>
      <c r="P39" s="86"/>
      <c r="Q39" s="86"/>
      <c r="R39" s="86"/>
      <c r="S39" s="145" t="s">
        <v>759</v>
      </c>
      <c r="T39" s="38" t="s">
        <v>760</v>
      </c>
      <c r="U39" s="145" t="s">
        <v>761</v>
      </c>
      <c r="V39" s="202"/>
      <c r="W39" s="171">
        <v>0.5</v>
      </c>
      <c r="X39" s="40"/>
      <c r="Y39" s="72" t="s">
        <v>762</v>
      </c>
      <c r="Z39" s="171">
        <v>0.5</v>
      </c>
      <c r="AA39" s="40"/>
      <c r="AB39" s="38"/>
      <c r="AC39" s="38"/>
      <c r="AD39" s="38"/>
      <c r="AE39" s="38"/>
      <c r="AF39" s="46"/>
      <c r="AG39" s="38"/>
      <c r="AH39" s="38"/>
      <c r="AI39" s="38"/>
      <c r="AJ39" s="38"/>
    </row>
    <row r="40" spans="1:36" s="87" customFormat="1" ht="135" hidden="1" x14ac:dyDescent="0.25">
      <c r="A40" s="38"/>
      <c r="B40" s="38"/>
      <c r="C40" s="38"/>
      <c r="D40" s="38"/>
      <c r="E40" s="38"/>
      <c r="F40" s="38"/>
      <c r="G40" s="43" t="s">
        <v>512</v>
      </c>
      <c r="H40" s="45" t="s">
        <v>763</v>
      </c>
      <c r="I40" s="45" t="s">
        <v>764</v>
      </c>
      <c r="J40" s="45" t="s">
        <v>765</v>
      </c>
      <c r="K40" s="45" t="s">
        <v>766</v>
      </c>
      <c r="L40" s="45" t="s">
        <v>654</v>
      </c>
      <c r="M40" s="46">
        <v>1</v>
      </c>
      <c r="N40" s="51">
        <v>0.5</v>
      </c>
      <c r="O40" s="52">
        <v>0.5</v>
      </c>
      <c r="P40" s="86"/>
      <c r="Q40" s="86"/>
      <c r="R40" s="86"/>
      <c r="S40" s="145" t="s">
        <v>759</v>
      </c>
      <c r="T40" s="145" t="s">
        <v>767</v>
      </c>
      <c r="U40" s="145" t="s">
        <v>768</v>
      </c>
      <c r="V40" s="72" t="s">
        <v>769</v>
      </c>
      <c r="W40" s="108">
        <v>0.97</v>
      </c>
      <c r="X40" s="40"/>
      <c r="Y40" s="72" t="s">
        <v>770</v>
      </c>
      <c r="Z40" s="72" t="s">
        <v>771</v>
      </c>
      <c r="AA40" s="40"/>
      <c r="AB40" s="38"/>
      <c r="AC40" s="38"/>
      <c r="AD40" s="38"/>
      <c r="AE40" s="38"/>
      <c r="AF40" s="46"/>
      <c r="AG40" s="38"/>
      <c r="AH40" s="38"/>
      <c r="AI40" s="38"/>
      <c r="AJ40" s="38"/>
    </row>
    <row r="41" spans="1:36" s="87" customFormat="1" ht="105" hidden="1" x14ac:dyDescent="0.25">
      <c r="A41" s="38"/>
      <c r="B41" s="38"/>
      <c r="C41" s="38"/>
      <c r="D41" s="38"/>
      <c r="E41" s="38"/>
      <c r="F41" s="38"/>
      <c r="G41" s="43" t="s">
        <v>512</v>
      </c>
      <c r="H41" s="45" t="s">
        <v>772</v>
      </c>
      <c r="I41" s="45" t="s">
        <v>773</v>
      </c>
      <c r="J41" s="45" t="s">
        <v>774</v>
      </c>
      <c r="K41" s="45" t="s">
        <v>775</v>
      </c>
      <c r="L41" s="45" t="s">
        <v>421</v>
      </c>
      <c r="M41" s="46">
        <v>1</v>
      </c>
      <c r="N41" s="51">
        <v>1</v>
      </c>
      <c r="O41" s="52"/>
      <c r="P41" s="86"/>
      <c r="Q41" s="86"/>
      <c r="R41" s="86"/>
      <c r="S41" s="145" t="s">
        <v>759</v>
      </c>
      <c r="T41" s="145" t="s">
        <v>776</v>
      </c>
      <c r="U41" s="145" t="s">
        <v>777</v>
      </c>
      <c r="V41" s="72" t="s">
        <v>778</v>
      </c>
      <c r="W41" s="108">
        <v>0.98</v>
      </c>
      <c r="X41" s="40"/>
      <c r="Y41" s="72" t="s">
        <v>779</v>
      </c>
      <c r="Z41" s="108">
        <v>0.02</v>
      </c>
      <c r="AA41" s="40"/>
      <c r="AB41" s="38"/>
      <c r="AC41" s="38"/>
      <c r="AD41" s="38"/>
      <c r="AE41" s="38"/>
      <c r="AF41" s="46"/>
      <c r="AG41" s="38"/>
      <c r="AH41" s="38"/>
      <c r="AI41" s="38"/>
      <c r="AJ41" s="38"/>
    </row>
    <row r="42" spans="1:36" s="87" customFormat="1" ht="165" hidden="1" x14ac:dyDescent="0.25">
      <c r="A42" s="38"/>
      <c r="B42" s="38"/>
      <c r="C42" s="38"/>
      <c r="D42" s="38"/>
      <c r="E42" s="38"/>
      <c r="F42" s="38"/>
      <c r="G42" s="43" t="s">
        <v>512</v>
      </c>
      <c r="H42" s="45" t="s">
        <v>780</v>
      </c>
      <c r="I42" s="45" t="s">
        <v>781</v>
      </c>
      <c r="J42" s="45" t="s">
        <v>782</v>
      </c>
      <c r="K42" s="45" t="s">
        <v>783</v>
      </c>
      <c r="L42" s="45" t="s">
        <v>679</v>
      </c>
      <c r="M42" s="46">
        <v>1</v>
      </c>
      <c r="N42" s="51">
        <v>1</v>
      </c>
      <c r="O42" s="46"/>
      <c r="P42" s="86"/>
      <c r="Q42" s="86"/>
      <c r="R42" s="145"/>
      <c r="S42" s="145" t="s">
        <v>784</v>
      </c>
      <c r="T42" s="145" t="s">
        <v>785</v>
      </c>
      <c r="U42" s="145" t="s">
        <v>786</v>
      </c>
      <c r="V42" s="72" t="s">
        <v>787</v>
      </c>
      <c r="W42" s="108">
        <v>0.85</v>
      </c>
      <c r="X42" s="72" t="s">
        <v>788</v>
      </c>
      <c r="Y42" s="72" t="s">
        <v>789</v>
      </c>
      <c r="Z42" s="72" t="s">
        <v>790</v>
      </c>
      <c r="AA42" s="40"/>
      <c r="AB42" s="38"/>
      <c r="AC42" s="38"/>
      <c r="AD42" s="38"/>
      <c r="AE42" s="38"/>
      <c r="AF42" s="46"/>
      <c r="AG42" s="38"/>
      <c r="AH42" s="38"/>
      <c r="AI42" s="38"/>
      <c r="AJ42" s="38"/>
    </row>
    <row r="43" spans="1:36" s="87" customFormat="1" ht="105" hidden="1" x14ac:dyDescent="0.25">
      <c r="A43" s="38"/>
      <c r="B43" s="38"/>
      <c r="C43" s="38"/>
      <c r="D43" s="38"/>
      <c r="E43" s="38"/>
      <c r="F43" s="38"/>
      <c r="G43" s="43" t="s">
        <v>512</v>
      </c>
      <c r="H43" s="45" t="s">
        <v>791</v>
      </c>
      <c r="I43" s="45" t="s">
        <v>792</v>
      </c>
      <c r="J43" s="45" t="s">
        <v>793</v>
      </c>
      <c r="K43" s="45" t="s">
        <v>794</v>
      </c>
      <c r="L43" s="45" t="s">
        <v>679</v>
      </c>
      <c r="M43" s="46">
        <v>1</v>
      </c>
      <c r="N43" s="51">
        <v>1</v>
      </c>
      <c r="O43" s="46"/>
      <c r="P43" s="86"/>
      <c r="Q43" s="86"/>
      <c r="R43" s="145"/>
      <c r="S43" s="145" t="s">
        <v>784</v>
      </c>
      <c r="T43" s="145" t="s">
        <v>785</v>
      </c>
      <c r="U43" s="145" t="s">
        <v>795</v>
      </c>
      <c r="V43" s="188" t="s">
        <v>796</v>
      </c>
      <c r="W43" s="108">
        <v>1</v>
      </c>
      <c r="X43" s="40"/>
      <c r="Y43" s="40"/>
      <c r="Z43" s="40"/>
      <c r="AA43" s="40"/>
      <c r="AB43" s="38"/>
      <c r="AC43" s="38"/>
      <c r="AD43" s="38"/>
      <c r="AE43" s="38"/>
      <c r="AF43" s="46"/>
      <c r="AG43" s="38"/>
      <c r="AH43" s="38"/>
      <c r="AI43" s="38"/>
      <c r="AJ43" s="38"/>
    </row>
    <row r="44" spans="1:36" s="87" customFormat="1" ht="124.5" hidden="1" customHeight="1" x14ac:dyDescent="0.25">
      <c r="A44" s="38"/>
      <c r="B44" s="38"/>
      <c r="C44" s="38"/>
      <c r="D44" s="38"/>
      <c r="E44" s="38"/>
      <c r="F44" s="38"/>
      <c r="G44" s="43" t="s">
        <v>512</v>
      </c>
      <c r="H44" s="45" t="s">
        <v>797</v>
      </c>
      <c r="I44" s="45" t="s">
        <v>798</v>
      </c>
      <c r="J44" s="45" t="s">
        <v>799</v>
      </c>
      <c r="K44" s="45" t="s">
        <v>800</v>
      </c>
      <c r="L44" s="45" t="s">
        <v>801</v>
      </c>
      <c r="M44" s="46">
        <v>1</v>
      </c>
      <c r="N44" s="51">
        <v>0.5</v>
      </c>
      <c r="O44" s="52">
        <v>0.5</v>
      </c>
      <c r="P44" s="160"/>
      <c r="Q44" s="86"/>
      <c r="R44" s="86"/>
      <c r="S44" s="145" t="s">
        <v>802</v>
      </c>
      <c r="T44" s="145" t="s">
        <v>803</v>
      </c>
      <c r="U44" s="145" t="s">
        <v>804</v>
      </c>
      <c r="V44" s="203" t="s">
        <v>805</v>
      </c>
      <c r="W44" s="108">
        <v>1</v>
      </c>
      <c r="X44" s="204"/>
      <c r="Y44" s="188" t="s">
        <v>806</v>
      </c>
      <c r="Z44" s="108">
        <v>1</v>
      </c>
      <c r="AA44" s="40"/>
      <c r="AB44" s="205" t="s">
        <v>806</v>
      </c>
      <c r="AC44" s="38"/>
      <c r="AD44" s="38"/>
      <c r="AE44" s="38"/>
      <c r="AF44" s="46"/>
      <c r="AG44" s="38"/>
      <c r="AH44" s="38"/>
      <c r="AI44" s="38"/>
      <c r="AJ44" s="38"/>
    </row>
    <row r="45" spans="1:36" s="87" customFormat="1" ht="135.75" hidden="1" customHeight="1" x14ac:dyDescent="0.25">
      <c r="A45" s="38"/>
      <c r="B45" s="38"/>
      <c r="C45" s="38"/>
      <c r="D45" s="38"/>
      <c r="E45" s="38"/>
      <c r="F45" s="38"/>
      <c r="G45" s="43" t="s">
        <v>512</v>
      </c>
      <c r="H45" s="45" t="s">
        <v>807</v>
      </c>
      <c r="I45" s="45" t="s">
        <v>808</v>
      </c>
      <c r="J45" s="45" t="s">
        <v>809</v>
      </c>
      <c r="K45" s="45" t="s">
        <v>810</v>
      </c>
      <c r="L45" s="45" t="s">
        <v>811</v>
      </c>
      <c r="M45" s="46">
        <v>1</v>
      </c>
      <c r="N45" s="51">
        <v>1</v>
      </c>
      <c r="O45" s="45"/>
      <c r="P45" s="45"/>
      <c r="Q45" s="45"/>
      <c r="R45" s="45"/>
      <c r="S45" s="45" t="s">
        <v>812</v>
      </c>
      <c r="T45" s="45" t="s">
        <v>813</v>
      </c>
      <c r="U45" s="45" t="s">
        <v>814</v>
      </c>
      <c r="V45" s="203" t="s">
        <v>815</v>
      </c>
      <c r="W45" s="206"/>
      <c r="X45" s="40"/>
      <c r="Y45" s="203" t="s">
        <v>816</v>
      </c>
      <c r="Z45" s="40"/>
      <c r="AA45" s="40"/>
      <c r="AB45" s="38"/>
      <c r="AC45" s="38"/>
      <c r="AD45" s="38"/>
      <c r="AE45" s="38"/>
      <c r="AF45" s="46"/>
      <c r="AG45" s="38"/>
      <c r="AH45" s="38"/>
      <c r="AI45" s="38"/>
      <c r="AJ45" s="38"/>
    </row>
    <row r="46" spans="1:36" s="87" customFormat="1" ht="150" hidden="1" x14ac:dyDescent="0.25">
      <c r="A46" s="38"/>
      <c r="B46" s="38"/>
      <c r="C46" s="38"/>
      <c r="D46" s="38"/>
      <c r="E46" s="38"/>
      <c r="F46" s="38"/>
      <c r="G46" s="43" t="s">
        <v>512</v>
      </c>
      <c r="H46" s="45"/>
      <c r="I46" s="45"/>
      <c r="J46" s="45"/>
      <c r="K46" s="45" t="s">
        <v>817</v>
      </c>
      <c r="L46" s="45" t="s">
        <v>818</v>
      </c>
      <c r="M46" s="46">
        <v>0</v>
      </c>
      <c r="N46" s="46"/>
      <c r="O46" s="52"/>
      <c r="P46" s="46"/>
      <c r="Q46" s="46"/>
      <c r="R46" s="45"/>
      <c r="S46" s="45" t="s">
        <v>819</v>
      </c>
      <c r="T46" s="45" t="s">
        <v>820</v>
      </c>
      <c r="U46" s="45" t="s">
        <v>821</v>
      </c>
      <c r="V46" s="39"/>
      <c r="W46" s="108">
        <v>0</v>
      </c>
      <c r="X46" s="37" t="s">
        <v>822</v>
      </c>
      <c r="Y46" s="203" t="s">
        <v>823</v>
      </c>
      <c r="Z46" s="40"/>
      <c r="AA46" s="40"/>
      <c r="AB46" s="205" t="s">
        <v>824</v>
      </c>
      <c r="AC46" s="38"/>
      <c r="AD46" s="38"/>
      <c r="AE46" s="38"/>
      <c r="AF46" s="46"/>
      <c r="AG46" s="38"/>
      <c r="AH46" s="38"/>
      <c r="AI46" s="38"/>
      <c r="AJ46" s="38"/>
    </row>
    <row r="47" spans="1:36" s="87" customFormat="1" ht="165.75" customHeight="1" thickBot="1" x14ac:dyDescent="0.3">
      <c r="A47" s="38"/>
      <c r="B47" s="38"/>
      <c r="C47" s="38"/>
      <c r="D47" s="38"/>
      <c r="E47" s="38"/>
      <c r="F47" s="38"/>
      <c r="G47" s="43" t="s">
        <v>512</v>
      </c>
      <c r="H47" s="45" t="s">
        <v>825</v>
      </c>
      <c r="I47" s="45" t="s">
        <v>826</v>
      </c>
      <c r="J47" s="196" t="s">
        <v>827</v>
      </c>
      <c r="K47" s="45" t="s">
        <v>828</v>
      </c>
      <c r="L47" s="45" t="s">
        <v>679</v>
      </c>
      <c r="M47" s="46">
        <v>1</v>
      </c>
      <c r="N47" s="51">
        <v>0.2</v>
      </c>
      <c r="O47" s="52">
        <v>0.2</v>
      </c>
      <c r="P47" s="53">
        <v>0.2</v>
      </c>
      <c r="Q47" s="54">
        <v>0.2</v>
      </c>
      <c r="R47" s="55">
        <v>0.2</v>
      </c>
      <c r="S47" s="45" t="s">
        <v>829</v>
      </c>
      <c r="T47" s="38"/>
      <c r="U47" s="157" t="s">
        <v>830</v>
      </c>
      <c r="V47" s="36" t="s">
        <v>831</v>
      </c>
      <c r="W47" s="108">
        <v>0.5</v>
      </c>
      <c r="X47" s="37" t="s">
        <v>832</v>
      </c>
      <c r="Y47" s="36" t="s">
        <v>833</v>
      </c>
      <c r="Z47" s="108">
        <v>1</v>
      </c>
      <c r="AA47" s="133"/>
      <c r="AB47" s="186" t="s">
        <v>834</v>
      </c>
      <c r="AC47" s="90" t="s">
        <v>658</v>
      </c>
      <c r="AD47" s="38"/>
      <c r="AE47" s="186" t="s">
        <v>834</v>
      </c>
      <c r="AF47" s="46">
        <v>1</v>
      </c>
      <c r="AG47" s="38"/>
      <c r="AH47" s="186" t="s">
        <v>835</v>
      </c>
      <c r="AI47" s="38"/>
      <c r="AJ47" s="38"/>
    </row>
    <row r="48" spans="1:36" s="87" customFormat="1" ht="135" x14ac:dyDescent="0.25">
      <c r="A48" s="38"/>
      <c r="B48" s="38"/>
      <c r="C48" s="38"/>
      <c r="D48" s="38"/>
      <c r="E48" s="38"/>
      <c r="F48" s="38"/>
      <c r="G48" s="43" t="s">
        <v>512</v>
      </c>
      <c r="H48" s="45" t="s">
        <v>836</v>
      </c>
      <c r="I48" s="45" t="s">
        <v>837</v>
      </c>
      <c r="J48" s="45" t="s">
        <v>838</v>
      </c>
      <c r="K48" s="45" t="s">
        <v>839</v>
      </c>
      <c r="L48" s="45" t="s">
        <v>840</v>
      </c>
      <c r="M48" s="46">
        <v>1</v>
      </c>
      <c r="N48" s="51">
        <v>0.2</v>
      </c>
      <c r="O48" s="46">
        <v>0.2</v>
      </c>
      <c r="P48" s="53">
        <v>0.2</v>
      </c>
      <c r="Q48" s="54">
        <v>0.2</v>
      </c>
      <c r="R48" s="55">
        <v>0.2</v>
      </c>
      <c r="S48" s="45" t="s">
        <v>841</v>
      </c>
      <c r="T48" s="38"/>
      <c r="U48" s="45" t="s">
        <v>842</v>
      </c>
      <c r="V48" s="36" t="s">
        <v>843</v>
      </c>
      <c r="W48" s="108">
        <v>1</v>
      </c>
      <c r="X48" s="40"/>
      <c r="Y48" s="9"/>
      <c r="Z48" s="78" t="s">
        <v>844</v>
      </c>
      <c r="AA48" s="12"/>
      <c r="AB48" s="36" t="s">
        <v>845</v>
      </c>
      <c r="AC48" s="207" t="s">
        <v>846</v>
      </c>
      <c r="AD48" s="207" t="s">
        <v>847</v>
      </c>
      <c r="AE48" s="36" t="s">
        <v>848</v>
      </c>
      <c r="AF48" s="46">
        <v>0.75</v>
      </c>
      <c r="AG48" s="36" t="s">
        <v>849</v>
      </c>
      <c r="AH48" s="208" t="s">
        <v>850</v>
      </c>
      <c r="AI48" s="38"/>
      <c r="AJ48" s="38"/>
    </row>
    <row r="49" spans="1:36" s="87" customFormat="1" ht="90" hidden="1" x14ac:dyDescent="0.25">
      <c r="A49" s="38"/>
      <c r="B49" s="38"/>
      <c r="C49" s="38"/>
      <c r="D49" s="38"/>
      <c r="E49" s="38"/>
      <c r="F49" s="38"/>
      <c r="G49" s="38"/>
      <c r="H49" s="45"/>
      <c r="I49" s="45" t="s">
        <v>851</v>
      </c>
      <c r="J49" s="45" t="s">
        <v>852</v>
      </c>
      <c r="K49" s="45" t="s">
        <v>853</v>
      </c>
      <c r="L49" s="45" t="s">
        <v>854</v>
      </c>
      <c r="M49" s="46">
        <v>0.5</v>
      </c>
      <c r="N49" s="46"/>
      <c r="O49" s="46"/>
      <c r="P49" s="53">
        <v>1</v>
      </c>
      <c r="Q49" s="86"/>
      <c r="R49" s="86"/>
      <c r="S49" s="45" t="s">
        <v>855</v>
      </c>
      <c r="T49" s="45" t="s">
        <v>856</v>
      </c>
      <c r="U49" s="384" t="s">
        <v>857</v>
      </c>
      <c r="V49" s="40" t="s">
        <v>166</v>
      </c>
      <c r="W49" s="108"/>
      <c r="X49" s="40"/>
      <c r="Y49" s="40" t="s">
        <v>166</v>
      </c>
      <c r="Z49" s="12"/>
      <c r="AA49" s="12"/>
      <c r="AB49" s="36" t="s">
        <v>858</v>
      </c>
      <c r="AC49" s="209" t="s">
        <v>533</v>
      </c>
      <c r="AD49" s="38"/>
      <c r="AE49" s="38"/>
      <c r="AF49" s="46"/>
      <c r="AG49" s="38"/>
      <c r="AH49" s="38"/>
      <c r="AI49" s="38"/>
      <c r="AJ49" s="38"/>
    </row>
    <row r="50" spans="1:36" s="87" customFormat="1" ht="45" hidden="1" x14ac:dyDescent="0.25">
      <c r="A50" s="38"/>
      <c r="B50" s="38"/>
      <c r="C50" s="38"/>
      <c r="D50" s="38"/>
      <c r="E50" s="38"/>
      <c r="F50" s="38"/>
      <c r="G50" s="38"/>
      <c r="H50" s="45"/>
      <c r="I50" s="45"/>
      <c r="J50" s="45"/>
      <c r="K50" s="45" t="s">
        <v>859</v>
      </c>
      <c r="L50" s="45" t="s">
        <v>860</v>
      </c>
      <c r="M50" s="46">
        <v>0.5</v>
      </c>
      <c r="N50" s="46"/>
      <c r="O50" s="46"/>
      <c r="P50" s="86"/>
      <c r="Q50" s="86"/>
      <c r="R50" s="55">
        <v>1</v>
      </c>
      <c r="S50" s="45" t="s">
        <v>855</v>
      </c>
      <c r="T50" s="38"/>
      <c r="U50" s="474"/>
      <c r="V50" s="40" t="s">
        <v>166</v>
      </c>
      <c r="W50" s="108"/>
      <c r="X50" s="40"/>
      <c r="Y50" s="40" t="s">
        <v>166</v>
      </c>
      <c r="Z50" s="12"/>
      <c r="AA50" s="12"/>
      <c r="AB50" s="38"/>
      <c r="AC50" s="38"/>
      <c r="AD50" s="38"/>
      <c r="AE50" s="38"/>
      <c r="AF50" s="46"/>
      <c r="AG50" s="38"/>
      <c r="AH50" s="45" t="s">
        <v>861</v>
      </c>
      <c r="AI50" s="38"/>
      <c r="AJ50" s="38"/>
    </row>
    <row r="51" spans="1:36" s="87" customFormat="1" ht="15" hidden="1" customHeight="1" x14ac:dyDescent="0.25">
      <c r="A51" s="38"/>
      <c r="B51" s="38"/>
      <c r="C51" s="38"/>
      <c r="D51" s="38"/>
      <c r="E51" s="38"/>
      <c r="F51" s="38"/>
      <c r="G51" s="38"/>
      <c r="H51" s="45"/>
      <c r="I51" s="45"/>
      <c r="J51" s="45"/>
      <c r="K51" s="45"/>
      <c r="L51" s="45"/>
      <c r="M51" s="46"/>
      <c r="N51" s="46"/>
      <c r="O51" s="46"/>
      <c r="P51" s="86"/>
      <c r="Q51" s="86"/>
      <c r="R51" s="86"/>
      <c r="S51" s="38"/>
      <c r="T51" s="38"/>
      <c r="U51" s="38"/>
      <c r="V51"/>
      <c r="W51" s="108"/>
      <c r="X51" s="40"/>
      <c r="Y51" s="40"/>
      <c r="Z51" s="40"/>
      <c r="AA51" s="40"/>
      <c r="AB51" s="38"/>
      <c r="AC51" s="38"/>
      <c r="AD51" s="38"/>
      <c r="AE51" s="38"/>
      <c r="AF51" s="46"/>
      <c r="AG51" s="38"/>
      <c r="AH51" s="38"/>
      <c r="AI51" s="38"/>
      <c r="AJ51" s="38"/>
    </row>
    <row r="52" spans="1:36" s="87" customFormat="1" ht="15" hidden="1" customHeight="1" x14ac:dyDescent="0.25">
      <c r="A52" s="38"/>
      <c r="B52" s="38"/>
      <c r="C52" s="38"/>
      <c r="D52" s="38"/>
      <c r="E52" s="38"/>
      <c r="F52" s="38"/>
      <c r="G52" s="38"/>
      <c r="H52" s="45"/>
      <c r="I52" s="45"/>
      <c r="J52" s="45"/>
      <c r="K52" s="45"/>
      <c r="L52" s="45"/>
      <c r="M52" s="46"/>
      <c r="N52" s="46"/>
      <c r="O52" s="46"/>
      <c r="P52" s="86"/>
      <c r="Q52" s="86"/>
      <c r="R52" s="86"/>
      <c r="S52" s="38"/>
      <c r="T52" s="38"/>
      <c r="U52" s="38"/>
      <c r="V52"/>
      <c r="W52" s="108"/>
      <c r="X52" s="40"/>
      <c r="Y52" s="40"/>
      <c r="Z52" s="40"/>
      <c r="AA52" s="40"/>
      <c r="AB52" s="38"/>
      <c r="AC52" s="38"/>
      <c r="AD52" s="38"/>
      <c r="AE52" s="38"/>
      <c r="AF52" s="46"/>
      <c r="AG52" s="38"/>
      <c r="AH52" s="38"/>
      <c r="AI52" s="38"/>
      <c r="AJ52" s="38"/>
    </row>
    <row r="53" spans="1:36" s="87" customFormat="1" ht="15" hidden="1" customHeight="1" x14ac:dyDescent="0.25">
      <c r="A53" s="38"/>
      <c r="B53" s="38"/>
      <c r="C53" s="38"/>
      <c r="D53" s="38"/>
      <c r="E53" s="38"/>
      <c r="F53" s="38"/>
      <c r="G53" s="38"/>
      <c r="H53" s="45"/>
      <c r="I53" s="45"/>
      <c r="J53" s="45"/>
      <c r="K53" s="45"/>
      <c r="L53" s="45"/>
      <c r="M53" s="46"/>
      <c r="N53" s="46"/>
      <c r="O53" s="46"/>
      <c r="P53" s="86"/>
      <c r="Q53" s="86"/>
      <c r="R53" s="86"/>
      <c r="S53" s="38"/>
      <c r="T53" s="38"/>
      <c r="U53" s="38"/>
      <c r="V53"/>
      <c r="W53" s="108"/>
      <c r="X53" s="40"/>
      <c r="Y53" s="40"/>
      <c r="Z53" s="40"/>
      <c r="AA53" s="40"/>
      <c r="AB53" s="38"/>
      <c r="AC53" s="38"/>
      <c r="AD53" s="38"/>
      <c r="AE53" s="38"/>
      <c r="AF53" s="46"/>
      <c r="AG53" s="38"/>
      <c r="AH53" s="38"/>
      <c r="AI53" s="38"/>
      <c r="AJ53" s="38"/>
    </row>
    <row r="54" spans="1:36" s="87" customFormat="1" ht="15" hidden="1" customHeight="1" thickBot="1" x14ac:dyDescent="0.3">
      <c r="A54" s="38"/>
      <c r="B54" s="38"/>
      <c r="C54" s="38"/>
      <c r="D54" s="38"/>
      <c r="E54" s="38"/>
      <c r="F54" s="38"/>
      <c r="G54" s="38"/>
      <c r="H54" s="157"/>
      <c r="I54" s="157"/>
      <c r="J54" s="157"/>
      <c r="K54" s="157"/>
      <c r="L54" s="157"/>
      <c r="M54" s="210"/>
      <c r="N54" s="46"/>
      <c r="O54" s="46"/>
      <c r="P54" s="86"/>
      <c r="Q54" s="86"/>
      <c r="R54" s="86"/>
      <c r="S54" s="38"/>
      <c r="T54" s="211"/>
      <c r="U54" s="211"/>
      <c r="V54"/>
      <c r="W54" s="108"/>
      <c r="X54" s="40"/>
      <c r="Y54" s="40"/>
      <c r="Z54" s="40"/>
      <c r="AA54" s="40"/>
      <c r="AB54" s="38"/>
      <c r="AC54" s="38"/>
      <c r="AD54" s="38"/>
      <c r="AE54" s="38"/>
      <c r="AF54" s="46"/>
      <c r="AG54" s="38"/>
      <c r="AH54" s="38"/>
      <c r="AI54" s="38"/>
      <c r="AJ54" s="38"/>
    </row>
    <row r="55" spans="1:36" s="87" customFormat="1" ht="137.25" hidden="1" customHeight="1" thickBot="1" x14ac:dyDescent="0.3">
      <c r="A55" s="457" t="s">
        <v>508</v>
      </c>
      <c r="B55" s="384" t="s">
        <v>862</v>
      </c>
      <c r="C55" s="45" t="s">
        <v>863</v>
      </c>
      <c r="D55" s="81">
        <v>40909</v>
      </c>
      <c r="E55" s="81">
        <v>44896</v>
      </c>
      <c r="F55" s="45" t="s">
        <v>864</v>
      </c>
      <c r="G55" s="62" t="s">
        <v>512</v>
      </c>
      <c r="H55" s="64" t="s">
        <v>865</v>
      </c>
      <c r="I55" s="38"/>
      <c r="J55" s="475" t="s">
        <v>866</v>
      </c>
      <c r="K55" s="64" t="s">
        <v>867</v>
      </c>
      <c r="L55" s="64" t="s">
        <v>868</v>
      </c>
      <c r="M55" s="65">
        <v>0.1</v>
      </c>
      <c r="N55" s="65">
        <v>1</v>
      </c>
      <c r="O55" s="38"/>
      <c r="P55" s="38"/>
      <c r="Q55" s="38"/>
      <c r="R55" s="38"/>
      <c r="S55" s="64" t="s">
        <v>864</v>
      </c>
      <c r="T55" s="38"/>
      <c r="U55" s="64" t="s">
        <v>869</v>
      </c>
      <c r="V55" s="39"/>
      <c r="W55" s="35">
        <v>0.5</v>
      </c>
      <c r="X55" s="212" t="s">
        <v>870</v>
      </c>
      <c r="Y55" s="133"/>
      <c r="Z55" s="35">
        <v>0.5</v>
      </c>
      <c r="AA55" s="40" t="s">
        <v>871</v>
      </c>
      <c r="AB55" s="38"/>
      <c r="AC55" s="209" t="s">
        <v>872</v>
      </c>
      <c r="AD55" s="38"/>
      <c r="AE55" s="38"/>
      <c r="AF55" s="46"/>
      <c r="AG55" s="38"/>
      <c r="AH55" s="38"/>
      <c r="AI55" s="38"/>
      <c r="AJ55" s="38"/>
    </row>
    <row r="56" spans="1:36" s="87" customFormat="1" ht="137.25" customHeight="1" thickBot="1" x14ac:dyDescent="0.3">
      <c r="A56" s="457"/>
      <c r="B56" s="385"/>
      <c r="C56" s="45"/>
      <c r="D56" s="81"/>
      <c r="E56" s="81"/>
      <c r="F56" s="45"/>
      <c r="G56" s="62" t="s">
        <v>512</v>
      </c>
      <c r="H56" s="38"/>
      <c r="I56" s="38"/>
      <c r="J56" s="476"/>
      <c r="K56" s="64" t="s">
        <v>873</v>
      </c>
      <c r="L56" s="64" t="s">
        <v>874</v>
      </c>
      <c r="M56" s="65">
        <v>0.3</v>
      </c>
      <c r="N56" s="38"/>
      <c r="O56" s="65">
        <v>0.25</v>
      </c>
      <c r="P56" s="88">
        <v>0.25</v>
      </c>
      <c r="Q56" s="89">
        <v>0.25</v>
      </c>
      <c r="R56" s="79">
        <v>0.25</v>
      </c>
      <c r="S56" s="64" t="s">
        <v>864</v>
      </c>
      <c r="T56" s="38"/>
      <c r="U56" s="64" t="s">
        <v>869</v>
      </c>
      <c r="V56" s="39"/>
      <c r="W56" s="108"/>
      <c r="X56" s="40"/>
      <c r="Y56" s="9"/>
      <c r="Z56" s="212" t="s">
        <v>875</v>
      </c>
      <c r="AA56" s="40"/>
      <c r="AB56" s="213" t="s">
        <v>876</v>
      </c>
      <c r="AC56" s="213" t="s">
        <v>84</v>
      </c>
      <c r="AD56" s="38"/>
      <c r="AE56" s="213" t="s">
        <v>876</v>
      </c>
      <c r="AF56" s="46">
        <v>1</v>
      </c>
      <c r="AG56" s="38"/>
      <c r="AH56" s="64" t="s">
        <v>873</v>
      </c>
      <c r="AI56" s="38"/>
      <c r="AJ56" s="38"/>
    </row>
    <row r="57" spans="1:36" s="87" customFormat="1" ht="137.25" hidden="1" customHeight="1" x14ac:dyDescent="0.25">
      <c r="A57" s="457"/>
      <c r="B57" s="385"/>
      <c r="C57" s="45" t="s">
        <v>877</v>
      </c>
      <c r="D57" s="81">
        <v>40909</v>
      </c>
      <c r="E57" s="81">
        <v>44896</v>
      </c>
      <c r="F57" s="45" t="s">
        <v>864</v>
      </c>
      <c r="G57" s="62" t="s">
        <v>512</v>
      </c>
      <c r="H57" s="38"/>
      <c r="I57" s="38"/>
      <c r="J57" s="476"/>
      <c r="K57" s="64" t="s">
        <v>878</v>
      </c>
      <c r="L57" s="64" t="s">
        <v>879</v>
      </c>
      <c r="M57" s="65">
        <v>0.1</v>
      </c>
      <c r="N57" s="38"/>
      <c r="O57" s="214">
        <v>1</v>
      </c>
      <c r="P57" s="38"/>
      <c r="Q57" s="38"/>
      <c r="R57" s="38"/>
      <c r="S57" s="64" t="s">
        <v>864</v>
      </c>
      <c r="T57" s="38"/>
      <c r="U57" s="64" t="s">
        <v>869</v>
      </c>
      <c r="V57" s="39"/>
      <c r="W57" s="108"/>
      <c r="X57" s="40"/>
      <c r="Y57" s="213" t="s">
        <v>880</v>
      </c>
      <c r="Z57" s="108">
        <v>1</v>
      </c>
      <c r="AA57" s="40"/>
      <c r="AB57" s="38"/>
      <c r="AC57" s="38"/>
      <c r="AD57" s="38"/>
      <c r="AE57" s="38"/>
      <c r="AF57" s="46"/>
      <c r="AG57" s="38"/>
      <c r="AH57" s="38"/>
      <c r="AI57" s="38"/>
      <c r="AJ57" s="38"/>
    </row>
    <row r="58" spans="1:36" s="87" customFormat="1" ht="150" customHeight="1" thickBot="1" x14ac:dyDescent="0.3">
      <c r="A58" s="457"/>
      <c r="B58" s="385"/>
      <c r="C58" s="45" t="s">
        <v>881</v>
      </c>
      <c r="D58" s="81">
        <v>40909</v>
      </c>
      <c r="E58" s="81">
        <v>44896</v>
      </c>
      <c r="F58" s="45" t="s">
        <v>864</v>
      </c>
      <c r="G58" s="62" t="s">
        <v>512</v>
      </c>
      <c r="H58" s="38"/>
      <c r="I58" s="38"/>
      <c r="J58" s="476"/>
      <c r="K58" s="64" t="s">
        <v>882</v>
      </c>
      <c r="L58" s="64" t="s">
        <v>883</v>
      </c>
      <c r="M58" s="65">
        <v>0.3</v>
      </c>
      <c r="N58" s="38"/>
      <c r="O58" s="65">
        <v>0.25</v>
      </c>
      <c r="P58" s="88">
        <v>0.25</v>
      </c>
      <c r="Q58" s="89">
        <v>0.25</v>
      </c>
      <c r="R58" s="79">
        <v>0.25</v>
      </c>
      <c r="S58" s="64" t="s">
        <v>864</v>
      </c>
      <c r="T58" s="38"/>
      <c r="U58" s="64" t="s">
        <v>869</v>
      </c>
      <c r="V58" s="39"/>
      <c r="W58" s="108"/>
      <c r="X58" s="40"/>
      <c r="Y58" s="9"/>
      <c r="Z58" s="171">
        <v>0</v>
      </c>
      <c r="AA58" s="78" t="s">
        <v>884</v>
      </c>
      <c r="AB58" s="213" t="s">
        <v>885</v>
      </c>
      <c r="AC58" s="213" t="s">
        <v>84</v>
      </c>
      <c r="AD58" s="38"/>
      <c r="AE58" s="215" t="s">
        <v>886</v>
      </c>
      <c r="AF58" s="46">
        <v>1</v>
      </c>
      <c r="AG58" s="38"/>
      <c r="AH58" s="64" t="s">
        <v>887</v>
      </c>
      <c r="AI58" s="38"/>
      <c r="AJ58" s="38"/>
    </row>
    <row r="59" spans="1:36" s="87" customFormat="1" ht="86.25" hidden="1" customHeight="1" x14ac:dyDescent="0.25">
      <c r="A59" s="457"/>
      <c r="B59" s="385"/>
      <c r="C59" s="45" t="s">
        <v>888</v>
      </c>
      <c r="D59" s="81">
        <v>40909</v>
      </c>
      <c r="E59" s="81" t="s">
        <v>889</v>
      </c>
      <c r="F59" s="45" t="s">
        <v>864</v>
      </c>
      <c r="G59" s="62" t="s">
        <v>512</v>
      </c>
      <c r="H59" s="38"/>
      <c r="I59" s="38"/>
      <c r="J59" s="476"/>
      <c r="K59" s="64" t="s">
        <v>890</v>
      </c>
      <c r="L59" s="64" t="s">
        <v>435</v>
      </c>
      <c r="M59" s="65">
        <v>0.1</v>
      </c>
      <c r="N59" s="65">
        <v>1</v>
      </c>
      <c r="O59" s="38"/>
      <c r="P59" s="38"/>
      <c r="Q59" s="38"/>
      <c r="R59" s="38"/>
      <c r="S59" s="64" t="s">
        <v>864</v>
      </c>
      <c r="T59" s="38"/>
      <c r="U59" s="64" t="s">
        <v>869</v>
      </c>
      <c r="V59" s="39"/>
      <c r="W59" s="108">
        <v>1</v>
      </c>
      <c r="X59" s="40"/>
      <c r="Y59" s="40"/>
      <c r="Z59" s="40"/>
      <c r="AA59" s="40"/>
      <c r="AB59" s="38"/>
      <c r="AC59" s="38"/>
      <c r="AD59" s="38"/>
      <c r="AE59" s="38"/>
      <c r="AF59" s="46"/>
      <c r="AG59" s="38"/>
      <c r="AH59" s="38"/>
      <c r="AI59" s="38"/>
      <c r="AJ59" s="38"/>
    </row>
    <row r="60" spans="1:36" s="87" customFormat="1" ht="90" hidden="1" customHeight="1" x14ac:dyDescent="0.25">
      <c r="A60" s="457"/>
      <c r="B60" s="386"/>
      <c r="C60" s="45" t="s">
        <v>891</v>
      </c>
      <c r="D60" s="81">
        <v>40909</v>
      </c>
      <c r="E60" s="81" t="s">
        <v>889</v>
      </c>
      <c r="F60" s="45" t="s">
        <v>864</v>
      </c>
      <c r="G60" s="62" t="s">
        <v>512</v>
      </c>
      <c r="H60" s="38"/>
      <c r="I60" s="38"/>
      <c r="J60" s="477"/>
      <c r="K60" s="64" t="s">
        <v>892</v>
      </c>
      <c r="L60" s="64" t="s">
        <v>435</v>
      </c>
      <c r="M60" s="65">
        <v>0.1</v>
      </c>
      <c r="N60" s="65">
        <v>1</v>
      </c>
      <c r="O60" s="65"/>
      <c r="P60" s="38"/>
      <c r="Q60" s="38"/>
      <c r="R60" s="38"/>
      <c r="S60" s="64" t="s">
        <v>864</v>
      </c>
      <c r="T60" s="38"/>
      <c r="U60" s="64" t="s">
        <v>869</v>
      </c>
      <c r="V60" s="39"/>
      <c r="W60" s="171">
        <v>0</v>
      </c>
      <c r="X60" s="37" t="s">
        <v>893</v>
      </c>
      <c r="Y60" s="40"/>
      <c r="Z60" s="40"/>
      <c r="AA60" s="12"/>
      <c r="AB60" s="38"/>
      <c r="AC60" s="38"/>
      <c r="AD60" s="38"/>
      <c r="AE60" s="38"/>
      <c r="AF60" s="46"/>
      <c r="AG60" s="38"/>
      <c r="AH60" s="38"/>
      <c r="AI60" s="38"/>
      <c r="AJ60" s="38"/>
    </row>
    <row r="61" spans="1:36" s="87" customFormat="1" ht="125.25" hidden="1" customHeight="1" thickBot="1" x14ac:dyDescent="0.3">
      <c r="A61" s="457"/>
      <c r="B61" s="384" t="s">
        <v>894</v>
      </c>
      <c r="C61" s="45" t="s">
        <v>895</v>
      </c>
      <c r="D61" s="81">
        <v>41061</v>
      </c>
      <c r="E61" s="81">
        <v>41487</v>
      </c>
      <c r="F61" s="45" t="s">
        <v>864</v>
      </c>
      <c r="G61" s="62" t="s">
        <v>512</v>
      </c>
      <c r="H61" s="64" t="s">
        <v>896</v>
      </c>
      <c r="I61" s="38"/>
      <c r="J61" s="475" t="s">
        <v>897</v>
      </c>
      <c r="K61" s="64" t="s">
        <v>898</v>
      </c>
      <c r="L61" s="64" t="s">
        <v>899</v>
      </c>
      <c r="M61" s="65">
        <v>0.33</v>
      </c>
      <c r="N61" s="38"/>
      <c r="O61" s="65">
        <v>1</v>
      </c>
      <c r="P61" s="38"/>
      <c r="Q61" s="38"/>
      <c r="R61" s="38"/>
      <c r="S61" s="64" t="s">
        <v>864</v>
      </c>
      <c r="T61" s="38"/>
      <c r="U61" s="64" t="s">
        <v>869</v>
      </c>
      <c r="V61" s="39"/>
      <c r="W61" s="108"/>
      <c r="X61" s="40"/>
      <c r="Y61" s="212" t="s">
        <v>900</v>
      </c>
      <c r="Z61" s="108">
        <v>1</v>
      </c>
      <c r="AA61" s="133"/>
      <c r="AB61" s="38"/>
      <c r="AC61" s="38"/>
      <c r="AD61" s="38"/>
      <c r="AE61" s="38"/>
      <c r="AF61" s="46"/>
      <c r="AG61" s="38"/>
      <c r="AH61" s="38"/>
      <c r="AI61" s="38"/>
      <c r="AJ61" s="38"/>
    </row>
    <row r="62" spans="1:36" s="87" customFormat="1" ht="126" hidden="1" customHeight="1" thickBot="1" x14ac:dyDescent="0.3">
      <c r="A62" s="457"/>
      <c r="B62" s="385"/>
      <c r="C62" s="45" t="s">
        <v>901</v>
      </c>
      <c r="D62" s="81">
        <v>41061</v>
      </c>
      <c r="E62" s="81">
        <v>41487</v>
      </c>
      <c r="F62" s="45" t="s">
        <v>864</v>
      </c>
      <c r="G62" s="62" t="s">
        <v>512</v>
      </c>
      <c r="H62" s="38"/>
      <c r="I62" s="38"/>
      <c r="J62" s="476"/>
      <c r="K62" s="64" t="s">
        <v>902</v>
      </c>
      <c r="L62" s="64" t="s">
        <v>903</v>
      </c>
      <c r="M62" s="65">
        <v>0.33</v>
      </c>
      <c r="N62" s="38"/>
      <c r="O62" s="65">
        <v>1</v>
      </c>
      <c r="P62" s="38"/>
      <c r="Q62" s="38"/>
      <c r="R62" s="38"/>
      <c r="S62" s="64" t="s">
        <v>864</v>
      </c>
      <c r="T62" s="38"/>
      <c r="U62" s="64" t="s">
        <v>869</v>
      </c>
      <c r="V62" s="39"/>
      <c r="W62" s="108"/>
      <c r="X62" s="40"/>
      <c r="Y62" s="212" t="s">
        <v>904</v>
      </c>
      <c r="Z62" s="108">
        <v>1</v>
      </c>
      <c r="AA62" s="133"/>
      <c r="AB62" s="38"/>
      <c r="AC62" s="38"/>
      <c r="AD62" s="38"/>
      <c r="AE62" s="38"/>
      <c r="AF62" s="46"/>
      <c r="AG62" s="38"/>
      <c r="AH62" s="38"/>
      <c r="AI62" s="38"/>
      <c r="AJ62" s="38"/>
    </row>
    <row r="63" spans="1:36" s="87" customFormat="1" ht="132.75" hidden="1" customHeight="1" thickBot="1" x14ac:dyDescent="0.3">
      <c r="A63" s="457"/>
      <c r="B63" s="386"/>
      <c r="C63" s="45" t="s">
        <v>905</v>
      </c>
      <c r="D63" s="81">
        <v>41061</v>
      </c>
      <c r="E63" s="81">
        <v>41609</v>
      </c>
      <c r="F63" s="45" t="s">
        <v>864</v>
      </c>
      <c r="G63" s="62" t="s">
        <v>512</v>
      </c>
      <c r="H63" s="38"/>
      <c r="I63" s="38"/>
      <c r="J63" s="477"/>
      <c r="K63" s="64" t="s">
        <v>906</v>
      </c>
      <c r="L63" s="64" t="s">
        <v>899</v>
      </c>
      <c r="M63" s="65">
        <v>0.34</v>
      </c>
      <c r="N63" s="38"/>
      <c r="O63" s="65">
        <v>1</v>
      </c>
      <c r="P63" s="38"/>
      <c r="Q63" s="38"/>
      <c r="R63" s="38"/>
      <c r="S63" s="64" t="s">
        <v>864</v>
      </c>
      <c r="T63" s="38"/>
      <c r="U63" s="64" t="s">
        <v>869</v>
      </c>
      <c r="V63" s="39"/>
      <c r="W63" s="108"/>
      <c r="X63" s="40"/>
      <c r="Y63" s="212" t="s">
        <v>907</v>
      </c>
      <c r="Z63" s="108">
        <v>1</v>
      </c>
      <c r="AA63" s="40"/>
      <c r="AB63" s="38"/>
      <c r="AC63" s="38"/>
      <c r="AD63" s="38"/>
      <c r="AE63" s="38"/>
      <c r="AF63" s="46"/>
      <c r="AG63" s="38"/>
      <c r="AH63" s="38"/>
      <c r="AI63" s="38"/>
      <c r="AJ63" s="38"/>
    </row>
    <row r="64" spans="1:36" s="87" customFormat="1" ht="117" customHeight="1" thickBot="1" x14ac:dyDescent="0.3">
      <c r="A64" s="457"/>
      <c r="B64" s="457" t="s">
        <v>908</v>
      </c>
      <c r="C64" s="45" t="s">
        <v>909</v>
      </c>
      <c r="D64" s="81">
        <v>41275</v>
      </c>
      <c r="E64" s="81">
        <v>44896</v>
      </c>
      <c r="F64" s="45" t="s">
        <v>910</v>
      </c>
      <c r="G64" s="62" t="s">
        <v>512</v>
      </c>
      <c r="H64" s="64" t="s">
        <v>911</v>
      </c>
      <c r="I64" s="38"/>
      <c r="J64" s="479" t="s">
        <v>912</v>
      </c>
      <c r="K64" s="64" t="s">
        <v>913</v>
      </c>
      <c r="L64" s="64" t="s">
        <v>914</v>
      </c>
      <c r="M64" s="65">
        <v>0.33</v>
      </c>
      <c r="N64" s="38"/>
      <c r="O64" s="91">
        <v>0.25</v>
      </c>
      <c r="P64" s="88">
        <v>0.25</v>
      </c>
      <c r="Q64" s="89">
        <v>0.25</v>
      </c>
      <c r="R64" s="79">
        <v>0.25</v>
      </c>
      <c r="S64" s="64" t="s">
        <v>910</v>
      </c>
      <c r="T64" s="38"/>
      <c r="U64" s="64" t="s">
        <v>869</v>
      </c>
      <c r="V64" s="39"/>
      <c r="W64" s="108"/>
      <c r="X64" s="40"/>
      <c r="Y64" s="216" t="s">
        <v>915</v>
      </c>
      <c r="Z64" s="171">
        <v>1</v>
      </c>
      <c r="AA64" s="133"/>
      <c r="AB64" s="216" t="s">
        <v>916</v>
      </c>
      <c r="AC64" s="216" t="s">
        <v>533</v>
      </c>
      <c r="AD64" s="38"/>
      <c r="AE64" s="216" t="s">
        <v>916</v>
      </c>
      <c r="AF64" s="46">
        <v>1</v>
      </c>
      <c r="AG64" s="38"/>
      <c r="AH64" s="216" t="s">
        <v>917</v>
      </c>
      <c r="AI64" s="38"/>
      <c r="AJ64" s="38"/>
    </row>
    <row r="65" spans="1:36" s="87" customFormat="1" ht="220.5" hidden="1" customHeight="1" thickBot="1" x14ac:dyDescent="0.3">
      <c r="A65" s="457"/>
      <c r="B65" s="478"/>
      <c r="C65" s="45" t="s">
        <v>918</v>
      </c>
      <c r="D65" s="81">
        <v>41275</v>
      </c>
      <c r="E65" s="81">
        <v>41244</v>
      </c>
      <c r="F65" s="45" t="s">
        <v>910</v>
      </c>
      <c r="G65" s="62" t="s">
        <v>512</v>
      </c>
      <c r="H65" s="38"/>
      <c r="I65" s="38"/>
      <c r="J65" s="480"/>
      <c r="K65" s="64" t="s">
        <v>919</v>
      </c>
      <c r="L65" s="64" t="s">
        <v>920</v>
      </c>
      <c r="M65" s="65">
        <v>0.33</v>
      </c>
      <c r="N65" s="65">
        <v>1</v>
      </c>
      <c r="O65" s="38"/>
      <c r="P65" s="38"/>
      <c r="Q65" s="38"/>
      <c r="R65" s="38"/>
      <c r="S65" s="64" t="s">
        <v>910</v>
      </c>
      <c r="T65" s="38"/>
      <c r="U65" s="64" t="s">
        <v>869</v>
      </c>
      <c r="V65" s="39"/>
      <c r="W65" s="171">
        <v>0.75</v>
      </c>
      <c r="X65" s="212" t="s">
        <v>921</v>
      </c>
      <c r="Y65" s="40"/>
      <c r="Z65" s="40"/>
      <c r="AA65" s="40"/>
      <c r="AB65" s="38"/>
      <c r="AC65" s="216" t="s">
        <v>533</v>
      </c>
      <c r="AD65" s="38"/>
      <c r="AE65" s="38"/>
      <c r="AF65" s="46"/>
      <c r="AG65" s="38"/>
      <c r="AH65" s="38"/>
      <c r="AI65" s="38"/>
      <c r="AJ65" s="38"/>
    </row>
    <row r="66" spans="1:36" s="87" customFormat="1" ht="156.75" customHeight="1" thickBot="1" x14ac:dyDescent="0.3">
      <c r="A66" s="457"/>
      <c r="B66" s="478"/>
      <c r="C66" s="45" t="s">
        <v>922</v>
      </c>
      <c r="D66" s="81">
        <v>41275</v>
      </c>
      <c r="E66" s="81">
        <v>44896</v>
      </c>
      <c r="F66" s="45" t="s">
        <v>910</v>
      </c>
      <c r="G66" s="62" t="s">
        <v>512</v>
      </c>
      <c r="H66" s="38"/>
      <c r="I66" s="38"/>
      <c r="J66" s="480"/>
      <c r="K66" s="64" t="s">
        <v>923</v>
      </c>
      <c r="L66" s="64" t="s">
        <v>914</v>
      </c>
      <c r="M66" s="65">
        <v>0.34</v>
      </c>
      <c r="N66" s="38"/>
      <c r="O66" s="91">
        <v>0.25</v>
      </c>
      <c r="P66" s="88">
        <v>0.25</v>
      </c>
      <c r="Q66" s="89">
        <v>0.25</v>
      </c>
      <c r="R66" s="79">
        <v>0.25</v>
      </c>
      <c r="S66" s="64" t="s">
        <v>910</v>
      </c>
      <c r="T66" s="38"/>
      <c r="U66" s="64" t="s">
        <v>869</v>
      </c>
      <c r="V66" s="39"/>
      <c r="W66" s="108"/>
      <c r="X66" s="40"/>
      <c r="Y66" s="212" t="s">
        <v>924</v>
      </c>
      <c r="Z66" s="171">
        <v>0</v>
      </c>
      <c r="AA66" s="12"/>
      <c r="AB66" s="217" t="s">
        <v>925</v>
      </c>
      <c r="AC66" s="218" t="s">
        <v>533</v>
      </c>
      <c r="AD66" s="219" t="s">
        <v>926</v>
      </c>
      <c r="AE66" s="94" t="s">
        <v>925</v>
      </c>
      <c r="AF66" s="46">
        <v>1</v>
      </c>
      <c r="AG66" s="38"/>
      <c r="AH66" s="94" t="s">
        <v>925</v>
      </c>
      <c r="AI66" s="38"/>
      <c r="AJ66" s="38"/>
    </row>
    <row r="67" spans="1:36" s="87" customFormat="1" ht="156" hidden="1" customHeight="1" thickBot="1" x14ac:dyDescent="0.3">
      <c r="A67" s="457"/>
      <c r="B67" s="457" t="s">
        <v>927</v>
      </c>
      <c r="C67" s="45" t="s">
        <v>928</v>
      </c>
      <c r="D67" s="81">
        <v>41275</v>
      </c>
      <c r="E67" s="81">
        <v>43070</v>
      </c>
      <c r="F67" s="45" t="s">
        <v>929</v>
      </c>
      <c r="G67" s="62" t="s">
        <v>512</v>
      </c>
      <c r="H67" s="64" t="s">
        <v>930</v>
      </c>
      <c r="I67" s="38"/>
      <c r="J67" s="479" t="s">
        <v>931</v>
      </c>
      <c r="K67" s="64" t="s">
        <v>932</v>
      </c>
      <c r="L67" s="64" t="s">
        <v>933</v>
      </c>
      <c r="M67" s="65">
        <v>0.33</v>
      </c>
      <c r="N67" s="65">
        <v>1</v>
      </c>
      <c r="O67" s="38"/>
      <c r="P67" s="220"/>
      <c r="Q67" s="38"/>
      <c r="R67" s="38"/>
      <c r="S67" s="64" t="s">
        <v>929</v>
      </c>
      <c r="T67" s="38"/>
      <c r="U67" s="64" t="s">
        <v>869</v>
      </c>
      <c r="V67" s="39"/>
      <c r="W67" s="171">
        <v>0.75</v>
      </c>
      <c r="X67" s="212" t="s">
        <v>934</v>
      </c>
      <c r="Y67" s="212" t="s">
        <v>935</v>
      </c>
      <c r="Z67" s="40"/>
      <c r="AA67" s="40"/>
      <c r="AB67" s="217" t="s">
        <v>936</v>
      </c>
      <c r="AC67" s="217" t="s">
        <v>937</v>
      </c>
      <c r="AD67" s="153"/>
      <c r="AE67" s="38"/>
      <c r="AF67" s="46"/>
      <c r="AG67" s="38"/>
      <c r="AH67" s="38"/>
      <c r="AI67" s="38"/>
      <c r="AJ67" s="38"/>
    </row>
    <row r="68" spans="1:36" s="87" customFormat="1" ht="110.25" hidden="1" customHeight="1" thickBot="1" x14ac:dyDescent="0.3">
      <c r="A68" s="457"/>
      <c r="B68" s="478"/>
      <c r="C68" s="45" t="s">
        <v>938</v>
      </c>
      <c r="D68" s="81">
        <v>41275</v>
      </c>
      <c r="E68" s="81">
        <v>43070</v>
      </c>
      <c r="F68" s="45" t="s">
        <v>929</v>
      </c>
      <c r="G68" s="62" t="s">
        <v>512</v>
      </c>
      <c r="H68" s="38"/>
      <c r="I68" s="38"/>
      <c r="J68" s="480"/>
      <c r="K68" s="64" t="s">
        <v>939</v>
      </c>
      <c r="L68" s="64" t="s">
        <v>933</v>
      </c>
      <c r="M68" s="65">
        <v>0.34</v>
      </c>
      <c r="N68" s="38"/>
      <c r="O68" s="38"/>
      <c r="P68" s="65"/>
      <c r="Q68" s="38"/>
      <c r="R68" s="38"/>
      <c r="S68" s="64" t="s">
        <v>929</v>
      </c>
      <c r="T68" s="38"/>
      <c r="U68" s="64" t="s">
        <v>869</v>
      </c>
      <c r="V68" s="39"/>
      <c r="W68" s="108"/>
      <c r="X68" s="40"/>
      <c r="Y68" s="212" t="s">
        <v>940</v>
      </c>
      <c r="Z68" s="40"/>
      <c r="AA68" s="40"/>
      <c r="AB68" s="217" t="s">
        <v>941</v>
      </c>
      <c r="AC68" s="217"/>
      <c r="AD68" s="153"/>
      <c r="AE68" s="38"/>
      <c r="AF68" s="46"/>
      <c r="AG68" s="38"/>
      <c r="AH68" s="38"/>
      <c r="AI68" s="38"/>
      <c r="AJ68" s="38"/>
    </row>
    <row r="69" spans="1:36" s="87" customFormat="1" ht="243" customHeight="1" thickBot="1" x14ac:dyDescent="0.3">
      <c r="A69" s="457"/>
      <c r="B69" s="478"/>
      <c r="C69" s="45" t="s">
        <v>942</v>
      </c>
      <c r="D69" s="81">
        <v>41275</v>
      </c>
      <c r="E69" s="81">
        <v>43070</v>
      </c>
      <c r="F69" s="45" t="s">
        <v>929</v>
      </c>
      <c r="G69" s="62" t="s">
        <v>512</v>
      </c>
      <c r="H69" s="38"/>
      <c r="I69" s="38"/>
      <c r="J69" s="480"/>
      <c r="K69" s="64" t="s">
        <v>943</v>
      </c>
      <c r="L69" s="64" t="s">
        <v>944</v>
      </c>
      <c r="M69" s="65">
        <v>0.67</v>
      </c>
      <c r="N69" s="38"/>
      <c r="O69" s="65">
        <v>0.17</v>
      </c>
      <c r="P69" s="65">
        <v>0.17</v>
      </c>
      <c r="Q69" s="89">
        <v>0.17</v>
      </c>
      <c r="R69" s="79">
        <v>0.17</v>
      </c>
      <c r="S69" s="64" t="s">
        <v>929</v>
      </c>
      <c r="T69" s="38"/>
      <c r="U69" s="64" t="s">
        <v>869</v>
      </c>
      <c r="V69" s="39"/>
      <c r="W69" s="108"/>
      <c r="X69" s="40"/>
      <c r="Y69" s="40"/>
      <c r="Z69" s="171">
        <v>0</v>
      </c>
      <c r="AA69" s="221" t="s">
        <v>945</v>
      </c>
      <c r="AB69" s="222"/>
      <c r="AC69" s="217" t="s">
        <v>937</v>
      </c>
      <c r="AD69" s="153"/>
      <c r="AE69" s="90" t="s">
        <v>946</v>
      </c>
      <c r="AF69" s="46">
        <v>1</v>
      </c>
      <c r="AG69" s="38"/>
      <c r="AH69" s="90" t="s">
        <v>947</v>
      </c>
      <c r="AI69" s="38"/>
      <c r="AJ69" s="38"/>
    </row>
    <row r="70" spans="1:36" s="87" customFormat="1" ht="99" hidden="1" customHeight="1" x14ac:dyDescent="0.25">
      <c r="A70" s="457"/>
      <c r="B70" s="478"/>
      <c r="C70" s="45" t="s">
        <v>948</v>
      </c>
      <c r="D70" s="81">
        <v>41275</v>
      </c>
      <c r="E70" s="81">
        <v>43070</v>
      </c>
      <c r="F70" s="131" t="s">
        <v>929</v>
      </c>
      <c r="G70" s="62" t="s">
        <v>512</v>
      </c>
      <c r="H70" s="38"/>
      <c r="I70" s="38"/>
      <c r="J70" s="480"/>
      <c r="K70" s="223"/>
      <c r="L70" s="224"/>
      <c r="M70" s="224"/>
      <c r="N70" s="224"/>
      <c r="O70" s="224"/>
      <c r="P70" s="224"/>
      <c r="Q70" s="224"/>
      <c r="R70" s="224"/>
      <c r="S70" s="225"/>
      <c r="T70" s="38"/>
      <c r="U70" s="64" t="s">
        <v>869</v>
      </c>
      <c r="V70" s="39"/>
      <c r="W70" s="108"/>
      <c r="X70" s="40"/>
      <c r="Y70" s="40"/>
      <c r="Z70" s="40"/>
      <c r="AA70" s="40"/>
      <c r="AB70" s="38"/>
      <c r="AC70" s="217"/>
      <c r="AD70" s="38"/>
      <c r="AE70" s="38"/>
      <c r="AF70" s="46"/>
      <c r="AG70" s="38"/>
      <c r="AH70" s="38"/>
      <c r="AI70" s="38"/>
      <c r="AJ70" s="38"/>
    </row>
    <row r="71" spans="1:36" s="87" customFormat="1" ht="122.25" customHeight="1" thickBot="1" x14ac:dyDescent="0.3">
      <c r="A71" s="457"/>
      <c r="B71" s="45" t="s">
        <v>949</v>
      </c>
      <c r="C71" s="45" t="s">
        <v>950</v>
      </c>
      <c r="D71" s="81">
        <v>40909</v>
      </c>
      <c r="E71" s="81">
        <v>44896</v>
      </c>
      <c r="F71" s="131" t="s">
        <v>929</v>
      </c>
      <c r="G71" s="62" t="s">
        <v>512</v>
      </c>
      <c r="H71" s="64" t="s">
        <v>951</v>
      </c>
      <c r="I71" s="38"/>
      <c r="J71" s="64" t="s">
        <v>952</v>
      </c>
      <c r="K71" s="64" t="s">
        <v>953</v>
      </c>
      <c r="L71" s="64" t="s">
        <v>954</v>
      </c>
      <c r="M71" s="65">
        <v>1</v>
      </c>
      <c r="N71" s="65">
        <v>0.2</v>
      </c>
      <c r="O71" s="65">
        <v>0.2</v>
      </c>
      <c r="P71" s="65">
        <v>0.2</v>
      </c>
      <c r="Q71" s="79">
        <v>0.2</v>
      </c>
      <c r="R71" s="79">
        <v>0.2</v>
      </c>
      <c r="S71" s="139" t="s">
        <v>929</v>
      </c>
      <c r="T71" s="38"/>
      <c r="U71" s="64" t="s">
        <v>869</v>
      </c>
      <c r="V71" s="40"/>
      <c r="W71" s="171">
        <v>1</v>
      </c>
      <c r="X71" s="40"/>
      <c r="Y71" s="226"/>
      <c r="Z71" s="171">
        <v>1</v>
      </c>
      <c r="AA71" s="212" t="s">
        <v>955</v>
      </c>
      <c r="AB71" s="222"/>
      <c r="AC71" s="217" t="s">
        <v>84</v>
      </c>
      <c r="AD71" s="38"/>
      <c r="AE71" s="90" t="s">
        <v>956</v>
      </c>
      <c r="AF71" s="46">
        <v>1</v>
      </c>
      <c r="AG71" s="38"/>
      <c r="AH71" s="90" t="s">
        <v>957</v>
      </c>
      <c r="AI71" s="38"/>
      <c r="AJ71" s="38"/>
    </row>
  </sheetData>
  <protectedRanges>
    <protectedRange sqref="V21" name="Rango1_7_4"/>
    <protectedRange sqref="V31" name="Rango1_4_19"/>
    <protectedRange sqref="V32" name="Rango1_4_1_2"/>
    <protectedRange sqref="V33" name="Rango1_4_2_2"/>
    <protectedRange sqref="V40" name="Rango1_4_6_2"/>
    <protectedRange sqref="V44" name="Rango1_4_8_2"/>
    <protectedRange sqref="V42" name="Rango1_4_9_2"/>
    <protectedRange sqref="Y44" name="Rango1_4_10_1"/>
    <protectedRange sqref="Y36:Y37" name="Rango1_4_3_2"/>
    <protectedRange sqref="W40 Y40" name="Rango1_4_4_2"/>
    <protectedRange sqref="W41 Y41" name="Rango1_4_11_1"/>
    <protectedRange sqref="Y11" name="Rango1_5_3"/>
    <protectedRange sqref="Y13" name="Rango1_5_1_1"/>
    <protectedRange sqref="Y17" name="Rango1_7_1_3"/>
    <protectedRange sqref="Y18" name="Rango1_7_2_1"/>
    <protectedRange sqref="Y12" name="Rango1_5_2_1"/>
    <protectedRange sqref="Y19" name="Rango1_7_3_1"/>
    <protectedRange sqref="Y28:Y29" name="Rango1_4_12_1"/>
    <protectedRange sqref="Y46" name="Rango1_4_13_1"/>
    <protectedRange sqref="Y31" name="Rango1_4_14_1"/>
    <protectedRange sqref="Y32" name="Rango1_4_15_1"/>
    <protectedRange sqref="Y33" name="Rango1_4_16_1"/>
    <protectedRange sqref="Y10" name="Rango1_4_17_1"/>
    <protectedRange sqref="Y34" name="Rango1_4_18_1"/>
    <protectedRange sqref="AB10" name="Rango1_4_1"/>
    <protectedRange sqref="AB28" name="Rango1_4"/>
    <protectedRange sqref="AB31" name="Rango1_4_2"/>
    <protectedRange sqref="AB32" name="Rango1_4_3"/>
    <protectedRange sqref="AB33" name="Rango1_4_4"/>
    <protectedRange sqref="AB34" name="Rango1_4_5"/>
    <protectedRange sqref="AB11" name="Rango1_5"/>
    <protectedRange sqref="AB12" name="Rango1_5_1"/>
    <protectedRange sqref="AB13" name="Rango1_5_2"/>
    <protectedRange sqref="AB14" name="Rango1_5_4"/>
    <protectedRange sqref="AB17" name="Rango1_7"/>
    <protectedRange sqref="AB16" name="Rango1_7_1"/>
    <protectedRange sqref="AB19" name="Rango1_7_2"/>
    <protectedRange sqref="AB44" name="Rango1_4_6"/>
    <protectedRange sqref="AB36:AB37" name="Rango1_4_7"/>
    <protectedRange sqref="AB38" name="Rango1_4_8"/>
    <protectedRange sqref="AB23" name="Rango1_4_9"/>
    <protectedRange sqref="AB30" name="Rango1_4_11"/>
    <protectedRange sqref="AB64" name="Rango1_4_2_1"/>
    <protectedRange sqref="Y64" name="Rango1_4_12"/>
    <protectedRange sqref="Y66" name="Rango1_4_13"/>
    <protectedRange sqref="AB47" name="Rango1_4_14"/>
    <protectedRange sqref="AE13" name="Rango1_5_5"/>
    <protectedRange sqref="AE17" name="Rango1_7_3"/>
    <protectedRange sqref="AE19" name="Rango1_7_5"/>
    <protectedRange sqref="AB20" name="Rango1_4_10"/>
    <protectedRange sqref="AE58" name="Rango1_4_16"/>
    <protectedRange sqref="AE32" name="Rango1_4_17"/>
    <protectedRange sqref="AE31" name="Rango1_4_18"/>
    <protectedRange sqref="AE38" name="Rango1_4_20"/>
    <protectedRange sqref="AE36:AE37" name="Rango1_4_21"/>
    <protectedRange sqref="AE47" name="Rango1_4_22"/>
    <protectedRange sqref="AE64" name="Rango1_4_23"/>
    <protectedRange sqref="AE66" name="Rango1_4_24"/>
    <protectedRange sqref="AE69" name="Rango1_4_15"/>
    <protectedRange sqref="AE28" name="Rango1_4_25"/>
    <protectedRange sqref="AE56" name="Rango1_4_26"/>
    <protectedRange sqref="AE71" name="Rango1_4_27"/>
    <protectedRange sqref="AH32" name="Rango1_4_28"/>
    <protectedRange sqref="AH13" name="Rango1_4_29"/>
    <protectedRange sqref="AH12" name="Rango1_4_30"/>
    <protectedRange sqref="AH14" name="Rango1_4_31"/>
    <protectedRange sqref="AH17" name="Rango1_4_32"/>
    <protectedRange sqref="AH47" name="Rango1_4_33"/>
    <protectedRange sqref="AH64" name="Rango1_4_34"/>
    <protectedRange sqref="AH66" name="Rango1_4_35"/>
  </protectedRanges>
  <mergeCells count="44">
    <mergeCell ref="AH7:AJ7"/>
    <mergeCell ref="A8:A9"/>
    <mergeCell ref="B8:B9"/>
    <mergeCell ref="C8:C9"/>
    <mergeCell ref="D8:E8"/>
    <mergeCell ref="F8:F9"/>
    <mergeCell ref="G8:G9"/>
    <mergeCell ref="H8:H9"/>
    <mergeCell ref="I8:I9"/>
    <mergeCell ref="J8:J9"/>
    <mergeCell ref="A7:F7"/>
    <mergeCell ref="G7:U7"/>
    <mergeCell ref="V7:X7"/>
    <mergeCell ref="Y7:AA7"/>
    <mergeCell ref="AB7:AD7"/>
    <mergeCell ref="AE7:AG7"/>
    <mergeCell ref="AH8:AJ8"/>
    <mergeCell ref="B10:B11"/>
    <mergeCell ref="K8:K9"/>
    <mergeCell ref="L8:L9"/>
    <mergeCell ref="M8:M9"/>
    <mergeCell ref="S8:S9"/>
    <mergeCell ref="T8:T9"/>
    <mergeCell ref="U8:U9"/>
    <mergeCell ref="U36:U37"/>
    <mergeCell ref="V8:X8"/>
    <mergeCell ref="Y8:AA8"/>
    <mergeCell ref="AB8:AD8"/>
    <mergeCell ref="AE8:AG8"/>
    <mergeCell ref="H15:H16"/>
    <mergeCell ref="I15:I16"/>
    <mergeCell ref="T29:T30"/>
    <mergeCell ref="U29:U30"/>
    <mergeCell ref="U31:U35"/>
    <mergeCell ref="U49:U50"/>
    <mergeCell ref="A55:A71"/>
    <mergeCell ref="B55:B60"/>
    <mergeCell ref="J55:J60"/>
    <mergeCell ref="B61:B63"/>
    <mergeCell ref="J61:J63"/>
    <mergeCell ref="B64:B66"/>
    <mergeCell ref="J64:J66"/>
    <mergeCell ref="B67:B70"/>
    <mergeCell ref="J67:J70"/>
  </mergeCells>
  <printOptions horizontalCentered="1" verticalCentered="1"/>
  <pageMargins left="0.70866141732283472" right="0.70866141732283472" top="0.74803149606299213" bottom="0.74803149606299213" header="0.31496062992125984" footer="0.31496062992125984"/>
  <pageSetup paperSize="9" scale="55"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5"/>
  <sheetViews>
    <sheetView topLeftCell="G1" workbookViewId="0">
      <selection activeCell="G5" sqref="G5"/>
    </sheetView>
  </sheetViews>
  <sheetFormatPr baseColWidth="10" defaultRowHeight="15" x14ac:dyDescent="0.25"/>
  <cols>
    <col min="1" max="1" width="21.5703125" hidden="1" customWidth="1"/>
    <col min="2" max="2" width="29.42578125" hidden="1" customWidth="1"/>
    <col min="3" max="3" width="23.140625" hidden="1" customWidth="1"/>
    <col min="4" max="4" width="10.5703125" hidden="1" customWidth="1"/>
    <col min="5" max="5" width="9" hidden="1" customWidth="1"/>
    <col min="6" max="6" width="2.85546875" hidden="1" customWidth="1"/>
    <col min="7" max="7" width="25.42578125" customWidth="1"/>
    <col min="8" max="8" width="22.28515625" customWidth="1"/>
    <col min="9" max="9" width="22.140625" customWidth="1"/>
    <col min="10" max="10" width="23.7109375" customWidth="1"/>
    <col min="11" max="11" width="19.5703125" customWidth="1"/>
    <col min="12" max="12" width="15.42578125" customWidth="1"/>
    <col min="13" max="14" width="8.7109375" hidden="1" customWidth="1"/>
    <col min="15" max="15" width="8.42578125" hidden="1" customWidth="1"/>
    <col min="16" max="16" width="9.5703125" hidden="1" customWidth="1"/>
    <col min="17" max="17" width="8.85546875" customWidth="1"/>
    <col min="18" max="18" width="11.140625" hidden="1" customWidth="1"/>
    <col min="19" max="19" width="20" customWidth="1"/>
    <col min="20" max="20" width="24.5703125" hidden="1" customWidth="1"/>
    <col min="21" max="21" width="19.85546875" hidden="1" customWidth="1"/>
    <col min="22" max="22" width="21.5703125" hidden="1" customWidth="1"/>
    <col min="23" max="23" width="20" hidden="1" customWidth="1"/>
    <col min="24" max="24" width="20.28515625" hidden="1" customWidth="1"/>
    <col min="25" max="25" width="15.7109375" hidden="1" customWidth="1"/>
    <col min="26" max="26" width="18.140625" hidden="1" customWidth="1"/>
    <col min="27" max="27" width="39.42578125" hidden="1" customWidth="1"/>
    <col min="28" max="28" width="17.85546875" hidden="1" customWidth="1"/>
    <col min="29" max="29" width="19.5703125" hidden="1" customWidth="1"/>
    <col min="30" max="30" width="21.42578125" hidden="1" customWidth="1"/>
    <col min="31" max="31" width="19.5703125" customWidth="1"/>
    <col min="32" max="32" width="17.140625" customWidth="1"/>
    <col min="33" max="33" width="19.5703125" customWidth="1"/>
    <col min="34" max="34" width="34.28515625" hidden="1" customWidth="1"/>
    <col min="35" max="35" width="18.140625" hidden="1" customWidth="1"/>
    <col min="36" max="36" width="22.5703125" hidden="1" customWidth="1"/>
  </cols>
  <sheetData>
    <row r="1" spans="1:36" ht="23.25" x14ac:dyDescent="0.35">
      <c r="A1" s="4" t="s">
        <v>1</v>
      </c>
      <c r="G1" s="4" t="s">
        <v>1</v>
      </c>
      <c r="V1" s="1"/>
      <c r="W1" t="s">
        <v>0</v>
      </c>
    </row>
    <row r="2" spans="1:36" ht="23.25" x14ac:dyDescent="0.35">
      <c r="A2" s="4" t="s">
        <v>4</v>
      </c>
      <c r="G2" s="4" t="s">
        <v>4</v>
      </c>
      <c r="V2" s="5"/>
      <c r="W2" t="s">
        <v>2</v>
      </c>
      <c r="AB2" s="6"/>
      <c r="AC2" t="s">
        <v>3</v>
      </c>
    </row>
    <row r="3" spans="1:36" ht="23.25" x14ac:dyDescent="0.35">
      <c r="A3" s="4" t="s">
        <v>7</v>
      </c>
      <c r="B3" s="227"/>
      <c r="C3" s="227"/>
      <c r="D3" s="227"/>
      <c r="E3" s="227"/>
      <c r="F3" s="227"/>
      <c r="G3" s="4" t="s">
        <v>7</v>
      </c>
      <c r="H3" s="227"/>
      <c r="I3" s="227"/>
      <c r="J3" s="227"/>
      <c r="K3" s="227"/>
      <c r="L3" s="227"/>
      <c r="M3" s="227"/>
      <c r="N3" s="227"/>
      <c r="O3" s="227"/>
      <c r="P3" s="227"/>
      <c r="Q3" s="227"/>
      <c r="R3" s="227"/>
      <c r="S3" s="227"/>
      <c r="T3" s="227"/>
      <c r="U3" s="228"/>
      <c r="V3" s="7"/>
      <c r="W3" t="s">
        <v>5</v>
      </c>
      <c r="AB3" s="8"/>
      <c r="AC3" t="s">
        <v>6</v>
      </c>
    </row>
    <row r="4" spans="1:36" ht="23.25" x14ac:dyDescent="0.35">
      <c r="A4" s="4" t="s">
        <v>958</v>
      </c>
      <c r="B4" s="227"/>
      <c r="C4" s="227"/>
      <c r="D4" s="227"/>
      <c r="E4" s="227"/>
      <c r="F4" s="227"/>
      <c r="G4" s="4" t="s">
        <v>958</v>
      </c>
      <c r="H4" s="227"/>
      <c r="I4" s="227"/>
      <c r="J4" s="227"/>
      <c r="K4" s="227"/>
      <c r="L4" s="227"/>
      <c r="M4" s="227"/>
      <c r="N4" s="227"/>
      <c r="O4" s="227"/>
      <c r="P4" s="227"/>
      <c r="Q4" s="227"/>
      <c r="R4" s="227"/>
      <c r="S4" s="227"/>
      <c r="T4" s="227"/>
      <c r="U4" s="228"/>
      <c r="V4" s="9"/>
      <c r="W4" t="s">
        <v>8</v>
      </c>
      <c r="AB4" s="10"/>
      <c r="AC4" t="s">
        <v>9</v>
      </c>
    </row>
    <row r="5" spans="1:36" ht="23.25" x14ac:dyDescent="0.35">
      <c r="A5" s="227"/>
      <c r="B5" s="227"/>
      <c r="C5" s="227"/>
      <c r="D5" s="227"/>
      <c r="E5" s="227"/>
      <c r="F5" s="227"/>
      <c r="G5" s="4" t="s">
        <v>2224</v>
      </c>
      <c r="H5" s="227"/>
      <c r="I5" s="227"/>
      <c r="J5" s="227"/>
      <c r="K5" s="227"/>
      <c r="L5" s="227"/>
      <c r="M5" s="227"/>
      <c r="N5" s="227"/>
      <c r="O5" s="227"/>
      <c r="P5" s="227"/>
      <c r="Q5" s="227"/>
      <c r="R5" s="227"/>
      <c r="S5" s="227"/>
      <c r="T5" s="227"/>
      <c r="U5" s="227"/>
    </row>
    <row r="6" spans="1:36" ht="21" x14ac:dyDescent="0.35">
      <c r="H6" s="227"/>
      <c r="I6" s="227"/>
      <c r="J6" s="227"/>
      <c r="K6" s="227"/>
      <c r="L6" s="227"/>
      <c r="M6" s="227"/>
      <c r="N6" s="227"/>
      <c r="O6" s="227"/>
      <c r="P6" s="227"/>
      <c r="Q6" s="227"/>
      <c r="R6" s="227"/>
      <c r="S6" s="227"/>
      <c r="T6" s="227"/>
      <c r="V6" s="374" t="s">
        <v>13</v>
      </c>
      <c r="W6" s="374"/>
      <c r="X6" s="374"/>
      <c r="Y6" s="375" t="s">
        <v>13</v>
      </c>
      <c r="Z6" s="375"/>
      <c r="AA6" s="375"/>
      <c r="AB6" s="375" t="s">
        <v>13</v>
      </c>
      <c r="AC6" s="375"/>
      <c r="AD6" s="375"/>
      <c r="AE6" s="376" t="s">
        <v>13</v>
      </c>
      <c r="AF6" s="376"/>
      <c r="AG6" s="376"/>
      <c r="AH6" s="377" t="s">
        <v>13</v>
      </c>
      <c r="AI6" s="378"/>
      <c r="AJ6" s="379"/>
    </row>
    <row r="7" spans="1:36" x14ac:dyDescent="0.25">
      <c r="A7" s="472" t="s">
        <v>14</v>
      </c>
      <c r="B7" s="472"/>
      <c r="C7" s="472"/>
      <c r="D7" s="472"/>
      <c r="E7" s="472"/>
      <c r="F7" s="472"/>
      <c r="G7" s="434" t="s">
        <v>304</v>
      </c>
      <c r="H7" s="434"/>
      <c r="I7" s="434"/>
      <c r="J7" s="434"/>
      <c r="K7" s="434"/>
      <c r="L7" s="434"/>
      <c r="M7" s="434"/>
      <c r="N7" s="434"/>
      <c r="O7" s="434"/>
      <c r="P7" s="434"/>
      <c r="Q7" s="434"/>
      <c r="R7" s="434"/>
      <c r="S7" s="434"/>
      <c r="T7" s="434"/>
      <c r="U7" s="434"/>
      <c r="V7" s="435" t="s">
        <v>16</v>
      </c>
      <c r="W7" s="436"/>
      <c r="X7" s="437"/>
      <c r="Y7" s="438" t="s">
        <v>17</v>
      </c>
      <c r="Z7" s="439"/>
      <c r="AA7" s="440"/>
      <c r="AB7" s="441" t="s">
        <v>18</v>
      </c>
      <c r="AC7" s="442"/>
      <c r="AD7" s="443"/>
      <c r="AE7" s="444" t="s">
        <v>19</v>
      </c>
      <c r="AF7" s="445"/>
      <c r="AG7" s="446"/>
      <c r="AH7" s="424" t="s">
        <v>20</v>
      </c>
      <c r="AI7" s="425"/>
      <c r="AJ7" s="426"/>
    </row>
    <row r="8" spans="1:36" ht="15" customHeight="1" x14ac:dyDescent="0.25">
      <c r="A8" s="429" t="s">
        <v>21</v>
      </c>
      <c r="B8" s="465" t="s">
        <v>22</v>
      </c>
      <c r="C8" s="465" t="s">
        <v>23</v>
      </c>
      <c r="D8" s="467" t="s">
        <v>24</v>
      </c>
      <c r="E8" s="468"/>
      <c r="F8" s="465" t="s">
        <v>25</v>
      </c>
      <c r="G8" s="431" t="s">
        <v>26</v>
      </c>
      <c r="H8" s="431" t="s">
        <v>22</v>
      </c>
      <c r="I8" s="229" t="s">
        <v>27</v>
      </c>
      <c r="J8" s="431" t="s">
        <v>28</v>
      </c>
      <c r="K8" s="431" t="s">
        <v>29</v>
      </c>
      <c r="L8" s="229" t="s">
        <v>23</v>
      </c>
      <c r="M8" s="462" t="s">
        <v>30</v>
      </c>
      <c r="N8" s="124" t="s">
        <v>24</v>
      </c>
      <c r="O8" s="125"/>
      <c r="P8" s="125"/>
      <c r="Q8" s="125"/>
      <c r="R8" s="165"/>
      <c r="S8" s="229" t="s">
        <v>25</v>
      </c>
      <c r="T8" s="431" t="s">
        <v>31</v>
      </c>
      <c r="U8" s="431" t="s">
        <v>32</v>
      </c>
      <c r="V8" s="167"/>
      <c r="W8" s="416" t="s">
        <v>34</v>
      </c>
      <c r="X8" s="416" t="s">
        <v>35</v>
      </c>
      <c r="Y8" s="418" t="s">
        <v>36</v>
      </c>
      <c r="Z8" s="418" t="s">
        <v>37</v>
      </c>
      <c r="AA8" s="418" t="s">
        <v>38</v>
      </c>
      <c r="AB8" s="410" t="s">
        <v>39</v>
      </c>
      <c r="AC8" s="410" t="s">
        <v>40</v>
      </c>
      <c r="AD8" s="410" t="s">
        <v>41</v>
      </c>
      <c r="AE8" s="412" t="s">
        <v>42</v>
      </c>
      <c r="AF8" s="412" t="s">
        <v>43</v>
      </c>
      <c r="AG8" s="412" t="s">
        <v>44</v>
      </c>
      <c r="AH8" s="502" t="s">
        <v>45</v>
      </c>
      <c r="AI8" s="500" t="s">
        <v>46</v>
      </c>
      <c r="AJ8" s="502" t="s">
        <v>47</v>
      </c>
    </row>
    <row r="9" spans="1:36" x14ac:dyDescent="0.25">
      <c r="A9" s="508"/>
      <c r="B9" s="509"/>
      <c r="C9" s="509"/>
      <c r="D9" s="166" t="s">
        <v>48</v>
      </c>
      <c r="E9" s="166" t="s">
        <v>49</v>
      </c>
      <c r="F9" s="509"/>
      <c r="G9" s="507"/>
      <c r="H9" s="507"/>
      <c r="I9" s="229" t="s">
        <v>27</v>
      </c>
      <c r="J9" s="507"/>
      <c r="K9" s="507"/>
      <c r="L9" s="229" t="s">
        <v>23</v>
      </c>
      <c r="M9" s="463"/>
      <c r="N9" s="127">
        <v>2012</v>
      </c>
      <c r="O9" s="128">
        <v>2013</v>
      </c>
      <c r="P9" s="127">
        <v>2014</v>
      </c>
      <c r="Q9" s="127">
        <v>2015</v>
      </c>
      <c r="R9" s="127">
        <v>2016</v>
      </c>
      <c r="S9" s="229" t="s">
        <v>25</v>
      </c>
      <c r="T9" s="507"/>
      <c r="U9" s="507"/>
      <c r="V9" s="230" t="s">
        <v>33</v>
      </c>
      <c r="W9" s="506"/>
      <c r="X9" s="506"/>
      <c r="Y9" s="419"/>
      <c r="Z9" s="419"/>
      <c r="AA9" s="419" t="s">
        <v>36</v>
      </c>
      <c r="AB9" s="411"/>
      <c r="AC9" s="411" t="s">
        <v>33</v>
      </c>
      <c r="AD9" s="411" t="s">
        <v>33</v>
      </c>
      <c r="AE9" s="458"/>
      <c r="AF9" s="458" t="s">
        <v>33</v>
      </c>
      <c r="AG9" s="458" t="s">
        <v>33</v>
      </c>
      <c r="AH9" s="503"/>
      <c r="AI9" s="501"/>
      <c r="AJ9" s="503"/>
    </row>
    <row r="10" spans="1:36" s="137" customFormat="1" ht="165" hidden="1" x14ac:dyDescent="0.25">
      <c r="A10" s="72" t="s">
        <v>959</v>
      </c>
      <c r="B10" s="72" t="s">
        <v>960</v>
      </c>
      <c r="C10" s="64" t="s">
        <v>961</v>
      </c>
      <c r="D10" s="170">
        <v>40909</v>
      </c>
      <c r="E10" s="170">
        <v>42705</v>
      </c>
      <c r="F10" s="139" t="s">
        <v>962</v>
      </c>
      <c r="G10" s="231" t="s">
        <v>963</v>
      </c>
      <c r="H10" s="72" t="s">
        <v>964</v>
      </c>
      <c r="I10" s="232" t="s">
        <v>965</v>
      </c>
      <c r="J10" s="233" t="s">
        <v>966</v>
      </c>
      <c r="K10" s="72" t="s">
        <v>967</v>
      </c>
      <c r="L10" s="72" t="s">
        <v>968</v>
      </c>
      <c r="M10" s="107">
        <v>1</v>
      </c>
      <c r="N10" s="107"/>
      <c r="O10" s="107"/>
      <c r="P10" s="107"/>
      <c r="Q10" s="107"/>
      <c r="R10" s="107"/>
      <c r="S10" s="72" t="s">
        <v>969</v>
      </c>
      <c r="T10" s="133"/>
      <c r="U10" s="234" t="s">
        <v>970</v>
      </c>
      <c r="V10" s="39"/>
      <c r="W10" s="35">
        <v>0</v>
      </c>
      <c r="X10" s="235" t="s">
        <v>971</v>
      </c>
      <c r="Y10" s="133"/>
      <c r="Z10" s="40"/>
      <c r="AA10" s="40"/>
      <c r="AB10" s="235" t="s">
        <v>972</v>
      </c>
      <c r="AC10" s="133"/>
      <c r="AD10" s="133"/>
      <c r="AE10" s="133"/>
      <c r="AF10" s="236"/>
      <c r="AG10" s="133"/>
      <c r="AH10" s="133"/>
      <c r="AI10" s="133"/>
      <c r="AJ10" s="133"/>
    </row>
    <row r="11" spans="1:36" s="137" customFormat="1" ht="90" x14ac:dyDescent="0.25">
      <c r="A11" s="133"/>
      <c r="B11" s="133"/>
      <c r="C11" s="133"/>
      <c r="D11" s="133"/>
      <c r="E11" s="133"/>
      <c r="F11" s="133"/>
      <c r="G11" s="231" t="s">
        <v>963</v>
      </c>
      <c r="H11" s="72"/>
      <c r="I11" s="237"/>
      <c r="J11" s="72" t="s">
        <v>973</v>
      </c>
      <c r="K11" s="72" t="s">
        <v>974</v>
      </c>
      <c r="L11" s="72" t="s">
        <v>654</v>
      </c>
      <c r="M11" s="107">
        <v>1</v>
      </c>
      <c r="N11" s="238">
        <v>0.2</v>
      </c>
      <c r="O11" s="107">
        <v>0.2</v>
      </c>
      <c r="P11" s="107">
        <v>0.2</v>
      </c>
      <c r="Q11" s="239">
        <v>0.2</v>
      </c>
      <c r="R11" s="240">
        <v>0.2</v>
      </c>
      <c r="S11" s="72" t="s">
        <v>975</v>
      </c>
      <c r="T11" s="72" t="s">
        <v>976</v>
      </c>
      <c r="U11" s="494" t="s">
        <v>977</v>
      </c>
      <c r="V11" s="235" t="s">
        <v>978</v>
      </c>
      <c r="W11" s="35">
        <v>0.2</v>
      </c>
      <c r="X11" s="40"/>
      <c r="Y11" s="9"/>
      <c r="Z11" s="107">
        <v>1</v>
      </c>
      <c r="AA11" s="133"/>
      <c r="AB11" s="135"/>
      <c r="AC11" s="90" t="s">
        <v>979</v>
      </c>
      <c r="AD11" s="9"/>
      <c r="AE11" s="60" t="s">
        <v>980</v>
      </c>
      <c r="AF11" s="236">
        <v>1</v>
      </c>
      <c r="AG11" s="133"/>
      <c r="AH11" s="60" t="s">
        <v>981</v>
      </c>
      <c r="AI11" s="133"/>
      <c r="AJ11" s="133"/>
    </row>
    <row r="12" spans="1:36" s="137" customFormat="1" ht="287.25" customHeight="1" x14ac:dyDescent="0.25">
      <c r="A12" s="133"/>
      <c r="B12" s="133"/>
      <c r="C12" s="133"/>
      <c r="D12" s="133"/>
      <c r="E12" s="133"/>
      <c r="F12" s="133"/>
      <c r="G12" s="231" t="s">
        <v>963</v>
      </c>
      <c r="H12" s="133"/>
      <c r="I12" s="237"/>
      <c r="J12" s="233" t="s">
        <v>982</v>
      </c>
      <c r="K12" s="72" t="s">
        <v>983</v>
      </c>
      <c r="L12" s="72" t="s">
        <v>984</v>
      </c>
      <c r="M12" s="107">
        <v>1</v>
      </c>
      <c r="N12" s="238">
        <v>0.2</v>
      </c>
      <c r="O12" s="241">
        <v>0.2</v>
      </c>
      <c r="P12" s="242">
        <v>0.2</v>
      </c>
      <c r="Q12" s="239">
        <v>0.2</v>
      </c>
      <c r="R12" s="240">
        <v>0.2</v>
      </c>
      <c r="S12" s="72" t="s">
        <v>985</v>
      </c>
      <c r="T12" s="72" t="s">
        <v>986</v>
      </c>
      <c r="U12" s="495"/>
      <c r="V12" s="243" t="s">
        <v>987</v>
      </c>
      <c r="W12" s="35">
        <v>1</v>
      </c>
      <c r="X12" s="40"/>
      <c r="Y12" s="243" t="s">
        <v>988</v>
      </c>
      <c r="Z12" s="35">
        <v>1</v>
      </c>
      <c r="AA12" s="40"/>
      <c r="AB12" s="217" t="s">
        <v>989</v>
      </c>
      <c r="AC12" s="244" t="s">
        <v>990</v>
      </c>
      <c r="AD12" s="244" t="s">
        <v>991</v>
      </c>
      <c r="AE12" s="60" t="s">
        <v>992</v>
      </c>
      <c r="AF12" s="236">
        <v>1</v>
      </c>
      <c r="AG12" s="133"/>
      <c r="AH12" s="245" t="s">
        <v>993</v>
      </c>
      <c r="AI12" s="133"/>
      <c r="AJ12" s="133"/>
    </row>
    <row r="13" spans="1:36" s="137" customFormat="1" ht="135" x14ac:dyDescent="0.25">
      <c r="A13" s="246"/>
      <c r="B13" s="246"/>
      <c r="C13" s="72"/>
      <c r="D13" s="247"/>
      <c r="E13" s="247"/>
      <c r="F13" s="248"/>
      <c r="G13" s="231"/>
      <c r="H13" s="133"/>
      <c r="I13" s="195"/>
      <c r="J13" s="233" t="s">
        <v>994</v>
      </c>
      <c r="K13" s="72" t="s">
        <v>995</v>
      </c>
      <c r="L13" s="72" t="s">
        <v>996</v>
      </c>
      <c r="M13" s="107">
        <v>0.1</v>
      </c>
      <c r="N13" s="238">
        <v>1</v>
      </c>
      <c r="O13" s="133"/>
      <c r="P13" s="133"/>
      <c r="Q13" s="133"/>
      <c r="R13" s="133"/>
      <c r="S13" s="72" t="s">
        <v>962</v>
      </c>
      <c r="T13" s="234"/>
      <c r="U13" s="249"/>
      <c r="V13" s="243" t="s">
        <v>997</v>
      </c>
      <c r="W13" s="35">
        <v>1</v>
      </c>
      <c r="X13" s="40"/>
      <c r="Y13" s="40"/>
      <c r="Z13" s="40"/>
      <c r="AA13" s="40"/>
      <c r="AB13" s="133"/>
      <c r="AC13" s="133"/>
      <c r="AD13" s="133"/>
      <c r="AE13" s="133"/>
      <c r="AF13" s="236"/>
      <c r="AG13" s="133"/>
      <c r="AH13" s="133"/>
      <c r="AI13" s="133"/>
      <c r="AJ13" s="133"/>
    </row>
    <row r="14" spans="1:36" s="137" customFormat="1" ht="71.25" x14ac:dyDescent="0.25">
      <c r="A14" s="246"/>
      <c r="B14" s="246"/>
      <c r="C14" s="72"/>
      <c r="D14" s="247"/>
      <c r="E14" s="247"/>
      <c r="F14" s="248"/>
      <c r="G14" s="231"/>
      <c r="H14" s="133"/>
      <c r="I14" s="195"/>
      <c r="J14" s="250"/>
      <c r="K14" s="72" t="s">
        <v>998</v>
      </c>
      <c r="L14" s="72" t="s">
        <v>999</v>
      </c>
      <c r="M14" s="107">
        <v>0.2</v>
      </c>
      <c r="N14" s="238">
        <v>0.2</v>
      </c>
      <c r="O14" s="241">
        <v>0.2</v>
      </c>
      <c r="P14" s="242">
        <v>0.2</v>
      </c>
      <c r="Q14" s="239">
        <v>0.2</v>
      </c>
      <c r="R14" s="240">
        <v>0.2</v>
      </c>
      <c r="S14" s="72" t="s">
        <v>962</v>
      </c>
      <c r="T14" s="72"/>
      <c r="U14" s="72"/>
      <c r="V14" s="243" t="s">
        <v>1000</v>
      </c>
      <c r="W14" s="35">
        <v>1</v>
      </c>
      <c r="X14" s="40"/>
      <c r="Y14" s="251" t="s">
        <v>1001</v>
      </c>
      <c r="Z14" s="35">
        <v>1</v>
      </c>
      <c r="AA14" s="40"/>
      <c r="AB14" s="90" t="s">
        <v>1001</v>
      </c>
      <c r="AC14" s="90" t="s">
        <v>84</v>
      </c>
      <c r="AD14" s="133"/>
      <c r="AE14" s="60" t="s">
        <v>1002</v>
      </c>
      <c r="AF14" s="236">
        <v>1</v>
      </c>
      <c r="AG14" s="133"/>
      <c r="AH14" s="60" t="s">
        <v>1001</v>
      </c>
      <c r="AI14" s="133"/>
      <c r="AJ14" s="133"/>
    </row>
    <row r="15" spans="1:36" s="137" customFormat="1" ht="150" x14ac:dyDescent="0.25">
      <c r="A15" s="491" t="s">
        <v>959</v>
      </c>
      <c r="B15" s="494" t="s">
        <v>960</v>
      </c>
      <c r="C15" s="72" t="s">
        <v>1003</v>
      </c>
      <c r="D15" s="247">
        <v>40909</v>
      </c>
      <c r="E15" s="247">
        <v>44896</v>
      </c>
      <c r="F15" s="248" t="s">
        <v>962</v>
      </c>
      <c r="G15" s="231" t="s">
        <v>963</v>
      </c>
      <c r="H15" s="133"/>
      <c r="I15" s="72"/>
      <c r="J15" s="250"/>
      <c r="K15" s="72" t="s">
        <v>1004</v>
      </c>
      <c r="L15" s="72" t="s">
        <v>840</v>
      </c>
      <c r="M15" s="107">
        <v>0.2</v>
      </c>
      <c r="N15" s="238">
        <v>0.2</v>
      </c>
      <c r="O15" s="241">
        <v>0.2</v>
      </c>
      <c r="P15" s="242">
        <v>0.2</v>
      </c>
      <c r="Q15" s="239">
        <v>0.2</v>
      </c>
      <c r="R15" s="240">
        <v>0.2</v>
      </c>
      <c r="S15" s="72" t="s">
        <v>962</v>
      </c>
      <c r="T15" s="36"/>
      <c r="U15" s="36"/>
      <c r="V15" s="243" t="s">
        <v>1005</v>
      </c>
      <c r="W15" s="252">
        <v>1</v>
      </c>
      <c r="X15" s="235"/>
      <c r="Y15" s="243" t="s">
        <v>1005</v>
      </c>
      <c r="Z15" s="35">
        <v>1</v>
      </c>
      <c r="AA15" s="40"/>
      <c r="AB15" s="504" t="s">
        <v>84</v>
      </c>
      <c r="AC15" s="133"/>
      <c r="AD15" s="133"/>
      <c r="AE15" s="60" t="s">
        <v>1005</v>
      </c>
      <c r="AF15" s="236">
        <v>1</v>
      </c>
      <c r="AG15" s="133"/>
      <c r="AH15" s="253" t="s">
        <v>1005</v>
      </c>
      <c r="AI15" s="133"/>
      <c r="AJ15" s="133"/>
    </row>
    <row r="16" spans="1:36" s="137" customFormat="1" ht="75" x14ac:dyDescent="0.25">
      <c r="A16" s="492"/>
      <c r="B16" s="495"/>
      <c r="C16" s="72"/>
      <c r="D16" s="247"/>
      <c r="E16" s="247"/>
      <c r="F16" s="248"/>
      <c r="G16" s="231"/>
      <c r="H16" s="133"/>
      <c r="I16" s="72"/>
      <c r="J16" s="250"/>
      <c r="K16" s="72" t="s">
        <v>1006</v>
      </c>
      <c r="L16" s="72" t="s">
        <v>1007</v>
      </c>
      <c r="M16" s="107">
        <v>0.3</v>
      </c>
      <c r="N16" s="238">
        <v>0.2</v>
      </c>
      <c r="O16" s="241">
        <v>0.2</v>
      </c>
      <c r="P16" s="242">
        <v>0.2</v>
      </c>
      <c r="Q16" s="239">
        <v>0.2</v>
      </c>
      <c r="R16" s="240">
        <v>0.2</v>
      </c>
      <c r="S16" s="72" t="s">
        <v>962</v>
      </c>
      <c r="T16" s="36"/>
      <c r="U16" s="36"/>
      <c r="V16" s="243" t="s">
        <v>1008</v>
      </c>
      <c r="W16" s="35">
        <v>1</v>
      </c>
      <c r="X16" s="40"/>
      <c r="Y16" s="505" t="s">
        <v>1009</v>
      </c>
      <c r="Z16" s="35">
        <v>1</v>
      </c>
      <c r="AA16" s="40"/>
      <c r="AB16" s="388"/>
      <c r="AC16" s="133"/>
      <c r="AD16" s="133"/>
      <c r="AE16" s="60" t="s">
        <v>1008</v>
      </c>
      <c r="AF16" s="236">
        <v>1</v>
      </c>
      <c r="AG16" s="133"/>
      <c r="AH16" s="253" t="s">
        <v>1008</v>
      </c>
      <c r="AI16" s="133"/>
      <c r="AJ16" s="133"/>
    </row>
    <row r="17" spans="1:36" s="137" customFormat="1" ht="150" x14ac:dyDescent="0.25">
      <c r="A17" s="495"/>
      <c r="B17" s="495"/>
      <c r="C17" s="72" t="s">
        <v>1010</v>
      </c>
      <c r="D17" s="247">
        <v>41275</v>
      </c>
      <c r="E17" s="247">
        <v>44896</v>
      </c>
      <c r="F17" s="248" t="s">
        <v>962</v>
      </c>
      <c r="G17" s="231" t="s">
        <v>963</v>
      </c>
      <c r="H17" s="133"/>
      <c r="I17" s="72"/>
      <c r="J17" s="250"/>
      <c r="K17" s="64" t="s">
        <v>1011</v>
      </c>
      <c r="L17" s="64" t="s">
        <v>1012</v>
      </c>
      <c r="M17" s="65">
        <v>0.1</v>
      </c>
      <c r="N17" s="65"/>
      <c r="O17" s="241">
        <v>0.25</v>
      </c>
      <c r="P17" s="88">
        <v>0.25</v>
      </c>
      <c r="Q17" s="89">
        <v>0.25</v>
      </c>
      <c r="R17" s="79">
        <v>0.25</v>
      </c>
      <c r="S17" s="64" t="s">
        <v>962</v>
      </c>
      <c r="T17" s="36"/>
      <c r="U17" s="64" t="s">
        <v>1013</v>
      </c>
      <c r="V17" s="235"/>
      <c r="W17" s="35"/>
      <c r="X17" s="40"/>
      <c r="Y17" s="388"/>
      <c r="Z17" s="35">
        <v>1</v>
      </c>
      <c r="AA17" s="40"/>
      <c r="AB17" s="388"/>
      <c r="AC17" s="133"/>
      <c r="AD17" s="133"/>
      <c r="AE17" s="60" t="s">
        <v>1014</v>
      </c>
      <c r="AF17" s="236">
        <v>1</v>
      </c>
      <c r="AG17" s="133"/>
      <c r="AH17" s="60" t="s">
        <v>1015</v>
      </c>
      <c r="AI17" s="133"/>
      <c r="AJ17" s="133"/>
    </row>
    <row r="18" spans="1:36" s="137" customFormat="1" ht="150" x14ac:dyDescent="0.25">
      <c r="A18" s="495"/>
      <c r="B18" s="495"/>
      <c r="C18" s="72" t="s">
        <v>1016</v>
      </c>
      <c r="D18" s="247">
        <v>40909</v>
      </c>
      <c r="E18" s="247">
        <v>44896</v>
      </c>
      <c r="F18" s="248" t="s">
        <v>962</v>
      </c>
      <c r="G18" s="231"/>
      <c r="H18" s="133"/>
      <c r="I18" s="72"/>
      <c r="J18" s="250"/>
      <c r="K18" s="64" t="s">
        <v>1017</v>
      </c>
      <c r="L18" s="64" t="s">
        <v>1018</v>
      </c>
      <c r="M18" s="65">
        <v>0.1</v>
      </c>
      <c r="N18" s="65">
        <v>0.2</v>
      </c>
      <c r="O18" s="241">
        <v>0.2</v>
      </c>
      <c r="P18" s="88">
        <v>0.2</v>
      </c>
      <c r="Q18" s="89">
        <v>0.2</v>
      </c>
      <c r="R18" s="79">
        <v>0.2</v>
      </c>
      <c r="S18" s="73" t="s">
        <v>1019</v>
      </c>
      <c r="T18" s="72"/>
      <c r="U18" s="64" t="s">
        <v>1013</v>
      </c>
      <c r="V18" s="243" t="s">
        <v>1008</v>
      </c>
      <c r="W18" s="107">
        <v>1</v>
      </c>
      <c r="X18" s="133"/>
      <c r="Y18" s="389"/>
      <c r="Z18" s="35">
        <v>1</v>
      </c>
      <c r="AA18" s="40"/>
      <c r="AB18" s="389"/>
      <c r="AC18" s="133"/>
      <c r="AD18" s="133"/>
      <c r="AE18" s="60" t="s">
        <v>1020</v>
      </c>
      <c r="AF18" s="236">
        <v>1</v>
      </c>
      <c r="AG18" s="133"/>
      <c r="AH18" s="60" t="s">
        <v>1021</v>
      </c>
      <c r="AI18" s="133"/>
      <c r="AJ18" s="133"/>
    </row>
    <row r="19" spans="1:36" s="137" customFormat="1" ht="195" hidden="1" x14ac:dyDescent="0.25">
      <c r="A19" s="496"/>
      <c r="B19" s="496"/>
      <c r="C19" s="133"/>
      <c r="D19" s="133"/>
      <c r="E19" s="133"/>
      <c r="F19" s="254"/>
      <c r="G19" s="231" t="s">
        <v>963</v>
      </c>
      <c r="H19" s="133"/>
      <c r="I19" s="72"/>
      <c r="J19" s="233" t="s">
        <v>1022</v>
      </c>
      <c r="K19" s="72" t="s">
        <v>1023</v>
      </c>
      <c r="L19" s="72" t="s">
        <v>1024</v>
      </c>
      <c r="M19" s="107">
        <v>1</v>
      </c>
      <c r="N19" s="238">
        <v>0.5</v>
      </c>
      <c r="O19" s="241">
        <v>0.5</v>
      </c>
      <c r="P19" s="133"/>
      <c r="Q19" s="133"/>
      <c r="R19" s="133"/>
      <c r="S19" s="72" t="s">
        <v>962</v>
      </c>
      <c r="T19" s="72" t="s">
        <v>1025</v>
      </c>
      <c r="U19" s="72" t="s">
        <v>1026</v>
      </c>
      <c r="V19" s="72" t="s">
        <v>1027</v>
      </c>
      <c r="W19" s="107">
        <v>1</v>
      </c>
      <c r="X19" s="72"/>
      <c r="Y19" s="72" t="s">
        <v>1027</v>
      </c>
      <c r="Z19" s="72" t="s">
        <v>1028</v>
      </c>
      <c r="AA19" s="40"/>
      <c r="AB19" s="133"/>
      <c r="AC19" s="133"/>
      <c r="AD19" s="133"/>
      <c r="AE19" s="133"/>
      <c r="AF19" s="236"/>
      <c r="AG19" s="133"/>
      <c r="AH19" s="133"/>
      <c r="AI19" s="133"/>
      <c r="AJ19" s="133"/>
    </row>
    <row r="20" spans="1:36" s="137" customFormat="1" ht="150" x14ac:dyDescent="0.25">
      <c r="A20" s="246"/>
      <c r="B20" s="246"/>
      <c r="C20" s="72" t="s">
        <v>1029</v>
      </c>
      <c r="D20" s="247">
        <v>40909</v>
      </c>
      <c r="E20" s="247">
        <v>41609</v>
      </c>
      <c r="F20" s="248" t="s">
        <v>962</v>
      </c>
      <c r="G20" s="231" t="s">
        <v>963</v>
      </c>
      <c r="H20" s="72" t="s">
        <v>1030</v>
      </c>
      <c r="I20" s="72" t="s">
        <v>1031</v>
      </c>
      <c r="J20" s="63" t="s">
        <v>1032</v>
      </c>
      <c r="K20" s="64" t="s">
        <v>1033</v>
      </c>
      <c r="L20" s="64" t="s">
        <v>134</v>
      </c>
      <c r="M20" s="65">
        <v>1</v>
      </c>
      <c r="N20" s="107"/>
      <c r="O20" s="65">
        <v>1</v>
      </c>
      <c r="P20" s="107"/>
      <c r="Q20" s="107"/>
      <c r="R20" s="107"/>
      <c r="S20" s="72"/>
      <c r="T20" s="72"/>
      <c r="U20" s="64" t="s">
        <v>1013</v>
      </c>
      <c r="V20" s="255"/>
      <c r="W20" s="35"/>
      <c r="X20" s="40"/>
      <c r="Y20" s="9" t="s">
        <v>1034</v>
      </c>
      <c r="Z20" s="40"/>
      <c r="AA20" s="12"/>
      <c r="AB20" s="90" t="s">
        <v>1035</v>
      </c>
      <c r="AC20" s="90"/>
      <c r="AD20" s="9"/>
      <c r="AE20" s="133"/>
      <c r="AF20" s="90" t="s">
        <v>1036</v>
      </c>
      <c r="AG20" s="133"/>
      <c r="AH20" s="133"/>
      <c r="AI20" s="133"/>
      <c r="AJ20" s="133"/>
    </row>
    <row r="21" spans="1:36" s="137" customFormat="1" ht="90" x14ac:dyDescent="0.25">
      <c r="A21" s="133"/>
      <c r="B21" s="133"/>
      <c r="C21" s="133"/>
      <c r="D21" s="256"/>
      <c r="E21" s="256"/>
      <c r="F21" s="133"/>
      <c r="G21" s="231" t="s">
        <v>963</v>
      </c>
      <c r="H21" s="72"/>
      <c r="I21" s="72"/>
      <c r="J21" s="497" t="s">
        <v>1037</v>
      </c>
      <c r="K21" s="72" t="s">
        <v>1038</v>
      </c>
      <c r="L21" s="72" t="s">
        <v>1039</v>
      </c>
      <c r="M21" s="107">
        <v>0.1</v>
      </c>
      <c r="N21" s="238">
        <v>1</v>
      </c>
      <c r="O21" s="133"/>
      <c r="P21" s="133"/>
      <c r="Q21" s="133"/>
      <c r="R21" s="133"/>
      <c r="S21" s="72" t="s">
        <v>962</v>
      </c>
      <c r="T21" s="72" t="s">
        <v>299</v>
      </c>
      <c r="U21" s="494" t="s">
        <v>1040</v>
      </c>
      <c r="V21" s="257" t="s">
        <v>1041</v>
      </c>
      <c r="W21" s="107">
        <v>1</v>
      </c>
      <c r="X21" s="133"/>
      <c r="Y21" s="133"/>
      <c r="Z21" s="40"/>
      <c r="AA21" s="40"/>
      <c r="AB21" s="133"/>
      <c r="AC21" s="133"/>
      <c r="AD21" s="133"/>
      <c r="AE21" s="133"/>
      <c r="AF21" s="60" t="s">
        <v>1042</v>
      </c>
      <c r="AG21" s="133"/>
      <c r="AH21" s="133"/>
      <c r="AI21" s="133"/>
      <c r="AJ21" s="133"/>
    </row>
    <row r="22" spans="1:36" s="137" customFormat="1" ht="135" x14ac:dyDescent="0.25">
      <c r="A22" s="133"/>
      <c r="B22" s="133"/>
      <c r="C22" s="133"/>
      <c r="D22" s="133"/>
      <c r="E22" s="133"/>
      <c r="F22" s="133"/>
      <c r="G22" s="231" t="s">
        <v>963</v>
      </c>
      <c r="H22" s="133"/>
      <c r="I22" s="72"/>
      <c r="J22" s="498"/>
      <c r="K22" s="72" t="s">
        <v>1043</v>
      </c>
      <c r="L22" s="72" t="s">
        <v>1044</v>
      </c>
      <c r="M22" s="107">
        <v>0.1</v>
      </c>
      <c r="N22" s="238">
        <v>0.2</v>
      </c>
      <c r="O22" s="241">
        <v>0.2</v>
      </c>
      <c r="P22" s="242">
        <v>0.2</v>
      </c>
      <c r="Q22" s="239">
        <v>0.2</v>
      </c>
      <c r="R22" s="240">
        <v>0.2</v>
      </c>
      <c r="S22" s="72" t="s">
        <v>962</v>
      </c>
      <c r="T22" s="72" t="s">
        <v>1045</v>
      </c>
      <c r="U22" s="495"/>
      <c r="V22" s="258" t="s">
        <v>1046</v>
      </c>
      <c r="W22" s="107">
        <v>1</v>
      </c>
      <c r="X22" s="72"/>
      <c r="Y22" s="72" t="s">
        <v>1046</v>
      </c>
      <c r="Z22" s="107">
        <v>1</v>
      </c>
      <c r="AA22" s="40"/>
      <c r="AB22" s="102" t="s">
        <v>1046</v>
      </c>
      <c r="AC22" s="90" t="s">
        <v>84</v>
      </c>
      <c r="AD22" s="133"/>
      <c r="AE22" s="60" t="s">
        <v>1046</v>
      </c>
      <c r="AF22" s="236">
        <v>1</v>
      </c>
      <c r="AG22" s="133"/>
      <c r="AH22" s="60" t="s">
        <v>1046</v>
      </c>
      <c r="AI22" s="133"/>
      <c r="AJ22" s="133"/>
    </row>
    <row r="23" spans="1:36" s="137" customFormat="1" ht="135" x14ac:dyDescent="0.25">
      <c r="A23" s="133"/>
      <c r="B23" s="133"/>
      <c r="C23" s="133"/>
      <c r="D23" s="133"/>
      <c r="E23" s="133"/>
      <c r="F23" s="133"/>
      <c r="G23" s="231" t="s">
        <v>963</v>
      </c>
      <c r="H23" s="133"/>
      <c r="I23" s="72"/>
      <c r="J23" s="250"/>
      <c r="K23" s="72" t="s">
        <v>1047</v>
      </c>
      <c r="L23" s="72" t="s">
        <v>1048</v>
      </c>
      <c r="M23" s="107">
        <v>0.6</v>
      </c>
      <c r="N23" s="238">
        <v>0.2</v>
      </c>
      <c r="O23" s="241">
        <v>0.2</v>
      </c>
      <c r="P23" s="242">
        <v>0.2</v>
      </c>
      <c r="Q23" s="239">
        <v>0.2</v>
      </c>
      <c r="R23" s="240">
        <v>0.2</v>
      </c>
      <c r="S23" s="494" t="s">
        <v>1049</v>
      </c>
      <c r="T23" s="72" t="s">
        <v>1050</v>
      </c>
      <c r="U23" s="495"/>
      <c r="V23" s="257" t="s">
        <v>1051</v>
      </c>
      <c r="W23" s="35">
        <v>1</v>
      </c>
      <c r="X23" s="40"/>
      <c r="Y23" s="72" t="s">
        <v>1052</v>
      </c>
      <c r="Z23" s="107">
        <v>1</v>
      </c>
      <c r="AA23" s="40"/>
      <c r="AB23" s="102" t="s">
        <v>1051</v>
      </c>
      <c r="AC23" s="90" t="s">
        <v>84</v>
      </c>
      <c r="AD23" s="133"/>
      <c r="AE23" s="60" t="s">
        <v>1047</v>
      </c>
      <c r="AF23" s="236">
        <v>1</v>
      </c>
      <c r="AG23" s="133"/>
      <c r="AH23" s="259" t="s">
        <v>1051</v>
      </c>
      <c r="AI23" s="133"/>
      <c r="AJ23" s="133"/>
    </row>
    <row r="24" spans="1:36" s="137" customFormat="1" ht="75" x14ac:dyDescent="0.25">
      <c r="A24" s="133"/>
      <c r="B24" s="133"/>
      <c r="C24" s="133"/>
      <c r="D24" s="133"/>
      <c r="E24" s="133"/>
      <c r="F24" s="133"/>
      <c r="G24" s="231" t="s">
        <v>963</v>
      </c>
      <c r="H24" s="133"/>
      <c r="I24" s="72"/>
      <c r="J24" s="250"/>
      <c r="K24" s="72" t="s">
        <v>1053</v>
      </c>
      <c r="L24" s="72" t="s">
        <v>1054</v>
      </c>
      <c r="M24" s="107">
        <v>0.2</v>
      </c>
      <c r="N24" s="238">
        <v>0.2</v>
      </c>
      <c r="O24" s="241">
        <v>0.2</v>
      </c>
      <c r="P24" s="242">
        <v>0.2</v>
      </c>
      <c r="Q24" s="239">
        <v>0.2</v>
      </c>
      <c r="R24" s="240">
        <v>0.2</v>
      </c>
      <c r="S24" s="499"/>
      <c r="T24" s="72" t="s">
        <v>1055</v>
      </c>
      <c r="U24" s="496"/>
      <c r="V24" s="257" t="s">
        <v>1056</v>
      </c>
      <c r="W24" s="35">
        <v>1</v>
      </c>
      <c r="X24" s="40"/>
      <c r="Y24" s="72" t="s">
        <v>1057</v>
      </c>
      <c r="Z24" s="107">
        <v>1</v>
      </c>
      <c r="AA24" s="40"/>
      <c r="AB24" s="102" t="s">
        <v>1056</v>
      </c>
      <c r="AC24" s="90" t="s">
        <v>84</v>
      </c>
      <c r="AD24" s="133"/>
      <c r="AE24" s="60" t="s">
        <v>1056</v>
      </c>
      <c r="AF24" s="236">
        <v>1</v>
      </c>
      <c r="AG24" s="133"/>
      <c r="AH24" s="60" t="s">
        <v>1056</v>
      </c>
      <c r="AI24" s="133"/>
      <c r="AJ24" s="133"/>
    </row>
    <row r="25" spans="1:36" s="137" customFormat="1" ht="165" hidden="1" x14ac:dyDescent="0.25">
      <c r="A25" s="491" t="s">
        <v>959</v>
      </c>
      <c r="B25" s="494" t="s">
        <v>1058</v>
      </c>
      <c r="C25" s="72" t="s">
        <v>1059</v>
      </c>
      <c r="D25" s="247">
        <v>40909</v>
      </c>
      <c r="E25" s="247">
        <v>44896</v>
      </c>
      <c r="F25" s="248" t="s">
        <v>962</v>
      </c>
      <c r="G25" s="62" t="s">
        <v>963</v>
      </c>
      <c r="H25" s="64" t="s">
        <v>1060</v>
      </c>
      <c r="I25" s="133"/>
      <c r="J25" s="63" t="s">
        <v>1061</v>
      </c>
      <c r="K25" s="64" t="s">
        <v>1062</v>
      </c>
      <c r="L25" s="64" t="s">
        <v>1063</v>
      </c>
      <c r="M25" s="65">
        <v>1</v>
      </c>
      <c r="N25" s="133"/>
      <c r="O25" s="65">
        <v>1</v>
      </c>
      <c r="P25" s="133"/>
      <c r="Q25" s="133"/>
      <c r="R25" s="133"/>
      <c r="S25" s="64" t="s">
        <v>962</v>
      </c>
      <c r="T25" s="64" t="s">
        <v>1064</v>
      </c>
      <c r="U25" s="64" t="s">
        <v>1013</v>
      </c>
      <c r="V25" s="133"/>
      <c r="W25" s="35"/>
      <c r="X25" s="40"/>
      <c r="Y25" s="72" t="s">
        <v>1065</v>
      </c>
      <c r="Z25" s="107">
        <v>0</v>
      </c>
      <c r="AA25" s="78" t="s">
        <v>1066</v>
      </c>
      <c r="AB25" s="133"/>
      <c r="AC25" s="133"/>
      <c r="AD25" s="9"/>
      <c r="AE25" s="133"/>
      <c r="AF25" s="236"/>
      <c r="AG25" s="133"/>
      <c r="AH25" s="133"/>
      <c r="AI25" s="133"/>
      <c r="AJ25" s="133"/>
    </row>
    <row r="26" spans="1:36" s="137" customFormat="1" ht="195" hidden="1" x14ac:dyDescent="0.25">
      <c r="A26" s="492"/>
      <c r="B26" s="495"/>
      <c r="C26" s="72" t="s">
        <v>1067</v>
      </c>
      <c r="D26" s="247">
        <v>40909</v>
      </c>
      <c r="E26" s="247">
        <v>44896</v>
      </c>
      <c r="F26" s="248" t="s">
        <v>962</v>
      </c>
      <c r="G26" s="62" t="s">
        <v>963</v>
      </c>
      <c r="H26" s="133"/>
      <c r="I26" s="133"/>
      <c r="J26" s="63" t="s">
        <v>1068</v>
      </c>
      <c r="K26" s="64" t="s">
        <v>1069</v>
      </c>
      <c r="L26" s="64" t="s">
        <v>435</v>
      </c>
      <c r="M26" s="65">
        <v>1</v>
      </c>
      <c r="N26" s="65">
        <v>1</v>
      </c>
      <c r="O26" s="133"/>
      <c r="P26" s="133"/>
      <c r="Q26" s="133"/>
      <c r="R26" s="133"/>
      <c r="S26" s="64" t="s">
        <v>962</v>
      </c>
      <c r="T26" s="64" t="s">
        <v>1064</v>
      </c>
      <c r="U26" s="64" t="s">
        <v>1013</v>
      </c>
      <c r="V26" s="133"/>
      <c r="W26" s="65">
        <v>1</v>
      </c>
      <c r="X26" s="250" t="s">
        <v>1070</v>
      </c>
      <c r="Y26" s="133"/>
      <c r="Z26" s="40"/>
      <c r="AA26" s="40"/>
      <c r="AB26" s="133"/>
      <c r="AC26" s="133"/>
      <c r="AD26" s="133"/>
      <c r="AE26" s="133"/>
      <c r="AF26" s="236"/>
      <c r="AG26" s="133"/>
      <c r="AH26" s="133"/>
      <c r="AI26" s="133"/>
      <c r="AJ26" s="133"/>
    </row>
    <row r="27" spans="1:36" s="137" customFormat="1" ht="150" hidden="1" x14ac:dyDescent="0.25">
      <c r="A27" s="493"/>
      <c r="B27" s="496"/>
      <c r="C27" s="72" t="s">
        <v>1071</v>
      </c>
      <c r="D27" s="247">
        <v>40909</v>
      </c>
      <c r="E27" s="247">
        <v>44896</v>
      </c>
      <c r="F27" s="248" t="s">
        <v>962</v>
      </c>
      <c r="G27" s="62" t="s">
        <v>963</v>
      </c>
      <c r="H27" s="133"/>
      <c r="I27" s="133"/>
      <c r="J27" s="63" t="s">
        <v>1072</v>
      </c>
      <c r="K27" s="64" t="s">
        <v>1073</v>
      </c>
      <c r="L27" s="64" t="s">
        <v>1074</v>
      </c>
      <c r="M27" s="65">
        <v>0.4</v>
      </c>
      <c r="N27" s="133"/>
      <c r="O27" s="133"/>
      <c r="P27" s="88"/>
      <c r="Q27" s="46"/>
      <c r="R27" s="46">
        <v>1</v>
      </c>
      <c r="S27" s="64" t="s">
        <v>962</v>
      </c>
      <c r="T27" s="64" t="s">
        <v>1064</v>
      </c>
      <c r="U27" s="64" t="s">
        <v>1013</v>
      </c>
      <c r="V27" s="133"/>
      <c r="W27" s="107"/>
      <c r="X27" s="133"/>
      <c r="Y27" s="133"/>
      <c r="Z27" s="40"/>
      <c r="AA27" s="40"/>
      <c r="AB27" s="102" t="s">
        <v>1075</v>
      </c>
      <c r="AC27" s="102" t="s">
        <v>1076</v>
      </c>
      <c r="AD27" s="133"/>
      <c r="AE27" s="133"/>
      <c r="AF27" s="236"/>
      <c r="AG27" s="133"/>
      <c r="AH27" s="133"/>
      <c r="AI27" s="133"/>
      <c r="AJ27" s="133"/>
    </row>
    <row r="28" spans="1:36" s="137" customFormat="1" ht="120" hidden="1" x14ac:dyDescent="0.25">
      <c r="A28" s="260"/>
      <c r="B28" s="249"/>
      <c r="C28" s="72"/>
      <c r="D28" s="247"/>
      <c r="E28" s="247"/>
      <c r="F28" s="248"/>
      <c r="G28" s="62"/>
      <c r="H28" s="133"/>
      <c r="I28" s="133"/>
      <c r="J28" s="63"/>
      <c r="K28" s="64" t="s">
        <v>1077</v>
      </c>
      <c r="L28" s="64" t="s">
        <v>108</v>
      </c>
      <c r="M28" s="65">
        <v>0.6</v>
      </c>
      <c r="N28" s="133"/>
      <c r="O28" s="133"/>
      <c r="P28" s="88"/>
      <c r="Q28" s="89"/>
      <c r="R28" s="79"/>
      <c r="S28" s="64" t="s">
        <v>962</v>
      </c>
      <c r="T28" s="64" t="s">
        <v>1064</v>
      </c>
      <c r="U28" s="64" t="s">
        <v>1013</v>
      </c>
      <c r="V28" s="133"/>
      <c r="W28" s="107"/>
      <c r="X28" s="133"/>
      <c r="Y28" s="133"/>
      <c r="Z28" s="40"/>
      <c r="AA28" s="40"/>
      <c r="AB28" s="102" t="s">
        <v>1078</v>
      </c>
      <c r="AC28" s="102" t="s">
        <v>1076</v>
      </c>
      <c r="AD28" s="133"/>
      <c r="AE28" s="60" t="s">
        <v>1079</v>
      </c>
      <c r="AF28" s="236"/>
      <c r="AG28" s="133"/>
      <c r="AH28" s="60" t="s">
        <v>1079</v>
      </c>
      <c r="AI28" s="133"/>
      <c r="AJ28" s="133"/>
    </row>
    <row r="29" spans="1:36" s="137" customFormat="1" ht="150" hidden="1" x14ac:dyDescent="0.25">
      <c r="A29" s="491" t="s">
        <v>959</v>
      </c>
      <c r="B29" s="494" t="s">
        <v>1080</v>
      </c>
      <c r="C29" s="72" t="s">
        <v>1081</v>
      </c>
      <c r="D29" s="247">
        <v>40909</v>
      </c>
      <c r="E29" s="247">
        <v>44896</v>
      </c>
      <c r="F29" s="248" t="s">
        <v>962</v>
      </c>
      <c r="G29" s="62" t="s">
        <v>963</v>
      </c>
      <c r="H29" s="64" t="s">
        <v>1082</v>
      </c>
      <c r="I29" s="72"/>
      <c r="J29" s="63" t="s">
        <v>1083</v>
      </c>
      <c r="K29" s="64" t="s">
        <v>1084</v>
      </c>
      <c r="L29" s="64" t="s">
        <v>1085</v>
      </c>
      <c r="M29" s="65">
        <v>1</v>
      </c>
      <c r="N29" s="107"/>
      <c r="O29" s="107"/>
      <c r="P29" s="88">
        <v>1</v>
      </c>
      <c r="Q29" s="133"/>
      <c r="R29" s="133"/>
      <c r="S29" s="64" t="s">
        <v>962</v>
      </c>
      <c r="T29" s="64" t="s">
        <v>1064</v>
      </c>
      <c r="U29" s="64" t="s">
        <v>1013</v>
      </c>
      <c r="V29" s="261"/>
      <c r="W29" s="107"/>
      <c r="X29" s="133"/>
      <c r="Y29" s="133"/>
      <c r="Z29" s="133"/>
      <c r="AA29" s="133"/>
      <c r="AB29" s="90" t="s">
        <v>1035</v>
      </c>
      <c r="AC29" s="90" t="s">
        <v>84</v>
      </c>
      <c r="AD29" s="133"/>
      <c r="AE29" s="133"/>
      <c r="AF29" s="236"/>
      <c r="AG29" s="133"/>
      <c r="AH29" s="133"/>
      <c r="AI29" s="133"/>
      <c r="AJ29" s="133"/>
    </row>
    <row r="30" spans="1:36" s="137" customFormat="1" ht="150" x14ac:dyDescent="0.25">
      <c r="A30" s="492"/>
      <c r="B30" s="495"/>
      <c r="C30" s="72" t="s">
        <v>1086</v>
      </c>
      <c r="D30" s="247">
        <v>40909</v>
      </c>
      <c r="E30" s="247">
        <v>44896</v>
      </c>
      <c r="F30" s="248" t="s">
        <v>962</v>
      </c>
      <c r="G30" s="62" t="s">
        <v>963</v>
      </c>
      <c r="H30" s="133"/>
      <c r="I30" s="72"/>
      <c r="J30" s="233" t="s">
        <v>1087</v>
      </c>
      <c r="K30" s="72" t="s">
        <v>1088</v>
      </c>
      <c r="L30" s="72" t="s">
        <v>1089</v>
      </c>
      <c r="M30" s="107">
        <v>1</v>
      </c>
      <c r="N30" s="238">
        <v>0.2</v>
      </c>
      <c r="O30" s="241">
        <v>0.2</v>
      </c>
      <c r="P30" s="242">
        <v>0.2</v>
      </c>
      <c r="Q30" s="239">
        <v>0.2</v>
      </c>
      <c r="R30" s="240">
        <v>0.2</v>
      </c>
      <c r="S30" s="72" t="s">
        <v>962</v>
      </c>
      <c r="T30" s="64" t="s">
        <v>1090</v>
      </c>
      <c r="U30" s="72" t="s">
        <v>1091</v>
      </c>
      <c r="V30" s="257" t="s">
        <v>1092</v>
      </c>
      <c r="W30" s="35">
        <v>1</v>
      </c>
      <c r="X30" s="40"/>
      <c r="Y30" s="262" t="s">
        <v>1092</v>
      </c>
      <c r="Z30" s="35">
        <v>1</v>
      </c>
      <c r="AA30" s="133"/>
      <c r="AB30" s="263" t="s">
        <v>1092</v>
      </c>
      <c r="AC30" s="90" t="s">
        <v>84</v>
      </c>
      <c r="AD30" s="133"/>
      <c r="AE30" s="60" t="s">
        <v>1092</v>
      </c>
      <c r="AF30" s="236">
        <v>1</v>
      </c>
      <c r="AG30" s="133"/>
      <c r="AH30" s="264" t="s">
        <v>1092</v>
      </c>
      <c r="AI30" s="133"/>
      <c r="AJ30" s="133"/>
    </row>
    <row r="31" spans="1:36" s="137" customFormat="1" ht="171" x14ac:dyDescent="0.25">
      <c r="A31" s="493"/>
      <c r="B31" s="496"/>
      <c r="C31" s="72" t="s">
        <v>1093</v>
      </c>
      <c r="D31" s="247">
        <v>40909</v>
      </c>
      <c r="E31" s="247">
        <v>44896</v>
      </c>
      <c r="F31" s="248" t="s">
        <v>962</v>
      </c>
      <c r="G31" s="62" t="s">
        <v>963</v>
      </c>
      <c r="H31" s="133"/>
      <c r="I31" s="76"/>
      <c r="J31" s="63" t="s">
        <v>1094</v>
      </c>
      <c r="K31" s="64" t="s">
        <v>1095</v>
      </c>
      <c r="L31" s="64" t="s">
        <v>1096</v>
      </c>
      <c r="M31" s="65">
        <v>1</v>
      </c>
      <c r="N31" s="65"/>
      <c r="O31" s="65">
        <v>0.25</v>
      </c>
      <c r="P31" s="88">
        <v>0.25</v>
      </c>
      <c r="Q31" s="89">
        <v>0.25</v>
      </c>
      <c r="R31" s="79">
        <v>0.25</v>
      </c>
      <c r="S31" s="64" t="s">
        <v>962</v>
      </c>
      <c r="T31" s="64" t="s">
        <v>1090</v>
      </c>
      <c r="U31" s="64" t="s">
        <v>1013</v>
      </c>
      <c r="V31" s="133"/>
      <c r="W31" s="107"/>
      <c r="X31" s="133"/>
      <c r="Y31" s="262" t="s">
        <v>1097</v>
      </c>
      <c r="Z31" s="35">
        <v>1</v>
      </c>
      <c r="AA31" s="133"/>
      <c r="AB31" s="90" t="s">
        <v>1098</v>
      </c>
      <c r="AC31" s="90" t="s">
        <v>84</v>
      </c>
      <c r="AD31" s="133"/>
      <c r="AE31" s="60" t="s">
        <v>1099</v>
      </c>
      <c r="AF31" s="236">
        <v>1</v>
      </c>
      <c r="AG31" s="133"/>
      <c r="AH31" s="265" t="s">
        <v>1100</v>
      </c>
      <c r="AI31" s="133"/>
      <c r="AJ31" s="133"/>
    </row>
    <row r="32" spans="1:36" s="137" customFormat="1" ht="390" hidden="1" x14ac:dyDescent="0.25">
      <c r="A32" s="491" t="s">
        <v>959</v>
      </c>
      <c r="B32" s="494" t="s">
        <v>1101</v>
      </c>
      <c r="C32" s="72" t="s">
        <v>1102</v>
      </c>
      <c r="D32" s="247">
        <v>40909</v>
      </c>
      <c r="E32" s="247">
        <v>44896</v>
      </c>
      <c r="F32" s="266" t="s">
        <v>1103</v>
      </c>
      <c r="G32" s="62" t="s">
        <v>963</v>
      </c>
      <c r="H32" s="64" t="s">
        <v>1104</v>
      </c>
      <c r="I32" s="133"/>
      <c r="J32" s="63" t="s">
        <v>1105</v>
      </c>
      <c r="K32" s="64" t="s">
        <v>1106</v>
      </c>
      <c r="L32" s="64" t="s">
        <v>1107</v>
      </c>
      <c r="M32" s="65">
        <v>0.4</v>
      </c>
      <c r="N32" s="133"/>
      <c r="O32" s="133"/>
      <c r="P32" s="88">
        <v>1</v>
      </c>
      <c r="Q32" s="133"/>
      <c r="R32" s="133"/>
      <c r="S32" s="64" t="s">
        <v>1103</v>
      </c>
      <c r="T32" s="64" t="s">
        <v>1108</v>
      </c>
      <c r="U32" s="64" t="s">
        <v>1013</v>
      </c>
      <c r="V32" s="133"/>
      <c r="W32" s="107"/>
      <c r="X32" s="133"/>
      <c r="Y32" s="133"/>
      <c r="Z32" s="133"/>
      <c r="AA32" s="133"/>
      <c r="AB32" s="90" t="s">
        <v>1109</v>
      </c>
      <c r="AC32" s="267" t="s">
        <v>321</v>
      </c>
      <c r="AD32" s="267" t="s">
        <v>1110</v>
      </c>
      <c r="AE32" s="133"/>
      <c r="AF32" s="236"/>
      <c r="AG32" s="133"/>
      <c r="AH32" s="133"/>
      <c r="AI32" s="133"/>
      <c r="AJ32" s="133"/>
    </row>
    <row r="33" spans="1:36" s="137" customFormat="1" ht="135" x14ac:dyDescent="0.25">
      <c r="A33" s="492"/>
      <c r="B33" s="495"/>
      <c r="C33" s="72"/>
      <c r="D33" s="247"/>
      <c r="E33" s="247"/>
      <c r="F33" s="266"/>
      <c r="G33" s="62"/>
      <c r="H33" s="64"/>
      <c r="I33" s="133"/>
      <c r="J33" s="64"/>
      <c r="K33" s="64" t="s">
        <v>1111</v>
      </c>
      <c r="L33" s="64" t="s">
        <v>108</v>
      </c>
      <c r="M33" s="65">
        <v>0.6</v>
      </c>
      <c r="N33" s="133"/>
      <c r="O33" s="133"/>
      <c r="P33" s="133"/>
      <c r="Q33" s="89"/>
      <c r="R33" s="79">
        <v>1</v>
      </c>
      <c r="S33" s="64" t="s">
        <v>1103</v>
      </c>
      <c r="T33" s="64" t="s">
        <v>1108</v>
      </c>
      <c r="U33" s="64" t="s">
        <v>1013</v>
      </c>
      <c r="V33" s="133"/>
      <c r="W33" s="107"/>
      <c r="X33" s="133"/>
      <c r="Y33" s="133"/>
      <c r="Z33" s="133"/>
      <c r="AA33" s="133"/>
      <c r="AB33" s="133"/>
      <c r="AC33" s="133"/>
      <c r="AD33" s="133"/>
      <c r="AE33" s="60" t="s">
        <v>1112</v>
      </c>
      <c r="AF33" s="236">
        <v>0</v>
      </c>
      <c r="AG33" s="60" t="s">
        <v>1116</v>
      </c>
      <c r="AH33" s="265" t="s">
        <v>1113</v>
      </c>
      <c r="AI33" s="133"/>
      <c r="AJ33" s="133"/>
    </row>
    <row r="34" spans="1:36" s="137" customFormat="1" ht="390" hidden="1" x14ac:dyDescent="0.25">
      <c r="A34" s="492"/>
      <c r="B34" s="495"/>
      <c r="C34" s="72" t="s">
        <v>1114</v>
      </c>
      <c r="D34" s="247">
        <v>40909</v>
      </c>
      <c r="E34" s="247">
        <v>44896</v>
      </c>
      <c r="F34" s="266" t="s">
        <v>1103</v>
      </c>
      <c r="G34" s="62" t="s">
        <v>963</v>
      </c>
      <c r="H34" s="133"/>
      <c r="I34" s="133"/>
      <c r="J34" s="64"/>
      <c r="K34" s="64"/>
      <c r="L34" s="64"/>
      <c r="M34" s="65"/>
      <c r="N34" s="133"/>
      <c r="O34" s="133"/>
      <c r="P34" s="133"/>
      <c r="Q34" s="65"/>
      <c r="R34" s="65"/>
      <c r="S34" s="64"/>
      <c r="T34" s="64"/>
      <c r="U34" s="133"/>
      <c r="V34" s="133"/>
      <c r="W34" s="107"/>
      <c r="X34" s="133"/>
      <c r="Y34" s="133"/>
      <c r="Z34" s="133"/>
      <c r="AA34" s="133"/>
      <c r="AB34" s="133"/>
      <c r="AC34" s="133"/>
      <c r="AD34" s="133"/>
      <c r="AE34" s="133"/>
      <c r="AF34" s="236"/>
      <c r="AG34" s="133"/>
      <c r="AH34" s="133"/>
      <c r="AI34" s="133"/>
      <c r="AJ34" s="133"/>
    </row>
    <row r="35" spans="1:36" s="137" customFormat="1" ht="390" hidden="1" x14ac:dyDescent="0.25">
      <c r="A35" s="493"/>
      <c r="B35" s="496"/>
      <c r="C35" s="72" t="s">
        <v>1115</v>
      </c>
      <c r="D35" s="247">
        <v>40909</v>
      </c>
      <c r="E35" s="247">
        <v>44896</v>
      </c>
      <c r="F35" s="266" t="s">
        <v>1103</v>
      </c>
      <c r="G35" s="62" t="s">
        <v>963</v>
      </c>
      <c r="H35" s="133"/>
      <c r="I35" s="133"/>
      <c r="J35" s="133"/>
      <c r="K35" s="133"/>
      <c r="L35" s="133"/>
      <c r="M35" s="133"/>
      <c r="N35" s="133"/>
      <c r="O35" s="133"/>
      <c r="P35" s="133"/>
      <c r="Q35" s="133"/>
      <c r="R35" s="133"/>
      <c r="S35" s="133"/>
      <c r="T35" s="133"/>
      <c r="U35" s="133"/>
      <c r="V35" s="133"/>
      <c r="W35" s="107"/>
      <c r="X35" s="133"/>
      <c r="Y35" s="133"/>
      <c r="Z35" s="133"/>
      <c r="AA35" s="133"/>
      <c r="AB35" s="133"/>
      <c r="AC35" s="133"/>
      <c r="AD35" s="133"/>
      <c r="AE35" s="133"/>
      <c r="AF35" s="236"/>
      <c r="AG35" s="133"/>
      <c r="AH35" s="133"/>
      <c r="AI35" s="133"/>
      <c r="AJ35" s="133"/>
    </row>
  </sheetData>
  <protectedRanges>
    <protectedRange sqref="Y14" name="Rango1_4_8"/>
    <protectedRange sqref="Y15" name="Rango1_4_1_1"/>
    <protectedRange sqref="Y16" name="Rango1_4_2_1"/>
    <protectedRange sqref="Y19" name="Rango1_4_3_1"/>
    <protectedRange sqref="Y30" name="Rango1_4_4_1"/>
    <protectedRange sqref="Y22" name="Rango1_4_5_1"/>
    <protectedRange sqref="Y23" name="Rango1_4_6_1"/>
    <protectedRange sqref="Y24" name="Rango1_4_7_1"/>
    <protectedRange sqref="AB22" name="Rango1_4"/>
    <protectedRange sqref="AB23" name="Rango1_4_1"/>
    <protectedRange sqref="AB24" name="Rango1_4_2"/>
    <protectedRange sqref="AB27" name="Rango1_4_3"/>
    <protectedRange sqref="AB28" name="Rango1_4_4"/>
    <protectedRange sqref="AB14" name="Rango1_4_5"/>
    <protectedRange sqref="AB12" name="Rango1_4_6"/>
    <protectedRange sqref="AB15" name="Rango1_4_7"/>
    <protectedRange sqref="Y31" name="Rango1_4_2_2"/>
    <protectedRange sqref="AE11" name="Rango1_4_9"/>
    <protectedRange sqref="AE12" name="Rango1_4_10"/>
    <protectedRange sqref="AE14" name="Rango1_4_11"/>
    <protectedRange sqref="AE15" name="Rango1_4_12"/>
    <protectedRange sqref="AE16" name="Rango1_4_13"/>
    <protectedRange sqref="AE17" name="Rango1_4_14"/>
    <protectedRange sqref="AE18" name="Rango1_4_15"/>
    <protectedRange sqref="AE22" name="Rango1_4_16"/>
    <protectedRange sqref="AH11" name="Rango1_4_17"/>
    <protectedRange sqref="AH12" name="Rango1_4_18"/>
    <protectedRange sqref="AH14" name="Rango1_4_19"/>
    <protectedRange sqref="AH15" name="Rango1_4_20"/>
    <protectedRange sqref="AH16" name="Rango1_4_21"/>
    <protectedRange sqref="AH17" name="Rango1_4_22"/>
    <protectedRange sqref="AH18" name="Rango1_4_23"/>
    <protectedRange sqref="AH22" name="Rango1_4_24"/>
    <protectedRange sqref="AH23" name="Rango1_4_25"/>
    <protectedRange sqref="AH24" name="Rango1_4_26"/>
    <protectedRange sqref="AH28" name="Rango1_4_27"/>
    <protectedRange sqref="AH30" name="Rango1_4_28"/>
  </protectedRanges>
  <mergeCells count="47">
    <mergeCell ref="AB7:AD7"/>
    <mergeCell ref="AE7:AG7"/>
    <mergeCell ref="AH7:AJ7"/>
    <mergeCell ref="G8:G9"/>
    <mergeCell ref="A7:F7"/>
    <mergeCell ref="G7:U7"/>
    <mergeCell ref="V7:X7"/>
    <mergeCell ref="Y7:AA7"/>
    <mergeCell ref="A8:A9"/>
    <mergeCell ref="B8:B9"/>
    <mergeCell ref="C8:C9"/>
    <mergeCell ref="D8:E8"/>
    <mergeCell ref="F8:F9"/>
    <mergeCell ref="Z8:Z9"/>
    <mergeCell ref="AA8:AA9"/>
    <mergeCell ref="AB8:AB9"/>
    <mergeCell ref="H8:H9"/>
    <mergeCell ref="J8:J9"/>
    <mergeCell ref="K8:K9"/>
    <mergeCell ref="M8:M9"/>
    <mergeCell ref="T8:T9"/>
    <mergeCell ref="U8:U9"/>
    <mergeCell ref="AI8:AI9"/>
    <mergeCell ref="AJ8:AJ9"/>
    <mergeCell ref="U11:U12"/>
    <mergeCell ref="A15:A19"/>
    <mergeCell ref="B15:B19"/>
    <mergeCell ref="AB15:AB18"/>
    <mergeCell ref="Y16:Y18"/>
    <mergeCell ref="AC8:AC9"/>
    <mergeCell ref="AD8:AD9"/>
    <mergeCell ref="AE8:AE9"/>
    <mergeCell ref="AF8:AF9"/>
    <mergeCell ref="AG8:AG9"/>
    <mergeCell ref="AH8:AH9"/>
    <mergeCell ref="W8:W9"/>
    <mergeCell ref="X8:X9"/>
    <mergeCell ref="Y8:Y9"/>
    <mergeCell ref="A32:A35"/>
    <mergeCell ref="B32:B35"/>
    <mergeCell ref="J21:J22"/>
    <mergeCell ref="U21:U24"/>
    <mergeCell ref="S23:S24"/>
    <mergeCell ref="A25:A27"/>
    <mergeCell ref="B25:B27"/>
    <mergeCell ref="A29:A31"/>
    <mergeCell ref="B29:B31"/>
  </mergeCells>
  <printOptions horizontalCentered="1" verticalCentered="1"/>
  <pageMargins left="0.70866141732283472" right="0.70866141732283472" top="0.74803149606299213" bottom="0.74803149606299213" header="0.31496062992125984" footer="0.31496062992125984"/>
  <pageSetup paperSize="9" scale="55"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9"/>
  <sheetViews>
    <sheetView topLeftCell="G1" workbookViewId="0">
      <selection activeCell="G5" sqref="G5"/>
    </sheetView>
  </sheetViews>
  <sheetFormatPr baseColWidth="10" defaultRowHeight="15" x14ac:dyDescent="0.25"/>
  <cols>
    <col min="1" max="1" width="20.85546875" hidden="1" customWidth="1"/>
    <col min="2" max="2" width="21.28515625" hidden="1" customWidth="1"/>
    <col min="3" max="3" width="11.140625" hidden="1" customWidth="1"/>
    <col min="4" max="4" width="8.42578125" hidden="1" customWidth="1"/>
    <col min="5" max="5" width="9" hidden="1" customWidth="1"/>
    <col min="6" max="6" width="14" hidden="1" customWidth="1"/>
    <col min="7" max="7" width="18.28515625" customWidth="1"/>
    <col min="8" max="8" width="19.140625" customWidth="1"/>
    <col min="9" max="9" width="25" customWidth="1"/>
    <col min="10" max="10" width="23.7109375" customWidth="1"/>
    <col min="11" max="11" width="18.5703125" customWidth="1"/>
    <col min="13" max="13" width="6.7109375" hidden="1" customWidth="1"/>
    <col min="14" max="14" width="6.42578125" hidden="1" customWidth="1"/>
    <col min="15" max="15" width="5.85546875" hidden="1" customWidth="1"/>
    <col min="16" max="16" width="5.28515625" hidden="1" customWidth="1"/>
    <col min="17" max="17" width="6.42578125" customWidth="1"/>
    <col min="18" max="18" width="6" hidden="1" customWidth="1"/>
    <col min="19" max="19" width="14" customWidth="1"/>
    <col min="20" max="20" width="14.7109375" hidden="1" customWidth="1"/>
    <col min="21" max="21" width="16.85546875" hidden="1" customWidth="1"/>
    <col min="22" max="24" width="11.42578125" hidden="1" customWidth="1"/>
    <col min="25" max="25" width="15.5703125" hidden="1" customWidth="1"/>
    <col min="26" max="26" width="11.42578125" hidden="1" customWidth="1"/>
    <col min="27" max="27" width="14.7109375" hidden="1" customWidth="1"/>
    <col min="28" max="28" width="15.28515625" hidden="1" customWidth="1"/>
    <col min="29" max="29" width="15.140625" hidden="1" customWidth="1"/>
    <col min="30" max="31" width="11.42578125" hidden="1" customWidth="1"/>
    <col min="32" max="32" width="17.42578125" customWidth="1"/>
    <col min="33" max="33" width="16.28515625" customWidth="1"/>
    <col min="34" max="34" width="13.7109375" customWidth="1"/>
    <col min="35" max="35" width="20.7109375" hidden="1" customWidth="1"/>
    <col min="36" max="36" width="18.140625" hidden="1" customWidth="1"/>
    <col min="37" max="37" width="19.85546875" hidden="1" customWidth="1"/>
  </cols>
  <sheetData>
    <row r="1" spans="1:37" ht="23.25" x14ac:dyDescent="0.35">
      <c r="A1" s="4" t="s">
        <v>1</v>
      </c>
      <c r="G1" s="4" t="s">
        <v>1</v>
      </c>
      <c r="V1" s="1"/>
      <c r="W1" t="s">
        <v>0</v>
      </c>
    </row>
    <row r="2" spans="1:37" ht="23.25" x14ac:dyDescent="0.35">
      <c r="A2" s="4" t="s">
        <v>4</v>
      </c>
      <c r="B2" s="227"/>
      <c r="C2" s="227"/>
      <c r="D2" s="227"/>
      <c r="E2" s="227"/>
      <c r="F2" s="227"/>
      <c r="G2" s="4" t="s">
        <v>4</v>
      </c>
      <c r="H2" s="227"/>
      <c r="I2" s="227"/>
      <c r="J2" s="227"/>
      <c r="K2" s="227"/>
      <c r="L2" s="227"/>
      <c r="M2" s="227"/>
      <c r="N2" s="227"/>
      <c r="O2" s="227"/>
      <c r="P2" s="227"/>
      <c r="Q2" s="227"/>
      <c r="R2" s="227"/>
      <c r="S2" s="227"/>
      <c r="T2" s="227"/>
      <c r="U2" s="228"/>
      <c r="V2" s="5"/>
      <c r="W2" t="s">
        <v>2</v>
      </c>
      <c r="AC2" s="6"/>
      <c r="AD2" t="s">
        <v>3</v>
      </c>
    </row>
    <row r="3" spans="1:37" ht="23.25" x14ac:dyDescent="0.35">
      <c r="A3" s="4" t="s">
        <v>7</v>
      </c>
      <c r="B3" s="227"/>
      <c r="C3" s="227"/>
      <c r="D3" s="227"/>
      <c r="E3" s="227"/>
      <c r="F3" s="227"/>
      <c r="G3" s="4" t="s">
        <v>7</v>
      </c>
      <c r="H3" s="227"/>
      <c r="I3" s="227"/>
      <c r="J3" s="227"/>
      <c r="K3" s="227"/>
      <c r="L3" s="227"/>
      <c r="M3" s="227"/>
      <c r="N3" s="227"/>
      <c r="O3" s="227"/>
      <c r="P3" s="227"/>
      <c r="Q3" s="227"/>
      <c r="R3" s="227"/>
      <c r="S3" s="227"/>
      <c r="T3" s="227"/>
      <c r="U3" s="228"/>
      <c r="V3" s="7"/>
      <c r="W3" t="s">
        <v>5</v>
      </c>
      <c r="AC3" s="8"/>
      <c r="AD3" t="s">
        <v>6</v>
      </c>
    </row>
    <row r="4" spans="1:37" ht="23.25" x14ac:dyDescent="0.35">
      <c r="A4" s="4" t="s">
        <v>1117</v>
      </c>
      <c r="B4" s="227"/>
      <c r="C4" s="227"/>
      <c r="D4" s="227"/>
      <c r="E4" s="227"/>
      <c r="F4" s="227"/>
      <c r="G4" s="4" t="s">
        <v>2227</v>
      </c>
      <c r="H4" s="227"/>
      <c r="I4" s="227"/>
      <c r="J4" s="227"/>
      <c r="K4" s="227"/>
      <c r="L4" s="227"/>
      <c r="M4" s="227"/>
      <c r="N4" s="227"/>
      <c r="O4" s="227"/>
      <c r="P4" s="227"/>
      <c r="Q4" s="227"/>
      <c r="R4" s="227"/>
      <c r="S4" s="227"/>
      <c r="T4" s="227"/>
      <c r="U4" s="228"/>
      <c r="V4" s="9"/>
      <c r="W4" t="s">
        <v>8</v>
      </c>
      <c r="AC4" s="10"/>
      <c r="AD4" t="s">
        <v>9</v>
      </c>
    </row>
    <row r="5" spans="1:37" ht="23.25" x14ac:dyDescent="0.35">
      <c r="G5" s="4" t="s">
        <v>2224</v>
      </c>
      <c r="H5" s="511"/>
      <c r="I5" s="511"/>
      <c r="J5" s="511"/>
      <c r="K5" s="511"/>
      <c r="L5" s="511"/>
      <c r="M5" s="511"/>
      <c r="N5" s="511"/>
      <c r="O5" s="511"/>
      <c r="P5" s="511"/>
      <c r="Q5" s="511"/>
      <c r="R5" s="511"/>
      <c r="S5" s="511"/>
      <c r="T5" s="511"/>
    </row>
    <row r="6" spans="1:37" x14ac:dyDescent="0.25">
      <c r="V6" s="473" t="s">
        <v>13</v>
      </c>
      <c r="W6" s="473"/>
      <c r="X6" s="473"/>
      <c r="Y6" s="453" t="s">
        <v>13</v>
      </c>
      <c r="Z6" s="453"/>
      <c r="AA6" s="453"/>
      <c r="AC6" s="453" t="s">
        <v>13</v>
      </c>
      <c r="AD6" s="453"/>
      <c r="AE6" s="453"/>
      <c r="AF6" s="471" t="s">
        <v>13</v>
      </c>
      <c r="AG6" s="471"/>
      <c r="AH6" s="471"/>
      <c r="AI6" s="454" t="s">
        <v>13</v>
      </c>
      <c r="AJ6" s="455"/>
      <c r="AK6" s="456"/>
    </row>
    <row r="7" spans="1:37" x14ac:dyDescent="0.25">
      <c r="A7" s="472" t="s">
        <v>14</v>
      </c>
      <c r="B7" s="472"/>
      <c r="C7" s="472"/>
      <c r="D7" s="472"/>
      <c r="E7" s="472"/>
      <c r="F7" s="472"/>
      <c r="G7" s="434" t="s">
        <v>304</v>
      </c>
      <c r="H7" s="434"/>
      <c r="I7" s="434"/>
      <c r="J7" s="434"/>
      <c r="K7" s="434"/>
      <c r="L7" s="434"/>
      <c r="M7" s="434"/>
      <c r="N7" s="434"/>
      <c r="O7" s="434"/>
      <c r="P7" s="434"/>
      <c r="Q7" s="434"/>
      <c r="R7" s="434"/>
      <c r="S7" s="434"/>
      <c r="T7" s="434"/>
      <c r="U7" s="434"/>
      <c r="V7" s="435" t="s">
        <v>16</v>
      </c>
      <c r="W7" s="436"/>
      <c r="X7" s="437"/>
      <c r="Y7" s="438" t="s">
        <v>17</v>
      </c>
      <c r="Z7" s="439"/>
      <c r="AA7" s="440"/>
      <c r="AC7" s="441" t="s">
        <v>18</v>
      </c>
      <c r="AD7" s="442"/>
      <c r="AE7" s="443"/>
      <c r="AF7" s="444" t="s">
        <v>19</v>
      </c>
      <c r="AG7" s="445"/>
      <c r="AH7" s="446"/>
      <c r="AI7" s="424" t="s">
        <v>20</v>
      </c>
      <c r="AJ7" s="425"/>
      <c r="AK7" s="426"/>
    </row>
    <row r="8" spans="1:37" ht="45" x14ac:dyDescent="0.25">
      <c r="A8" s="429" t="s">
        <v>21</v>
      </c>
      <c r="B8" s="465" t="s">
        <v>22</v>
      </c>
      <c r="C8" s="465" t="s">
        <v>23</v>
      </c>
      <c r="D8" s="467" t="s">
        <v>24</v>
      </c>
      <c r="E8" s="468"/>
      <c r="F8" s="465" t="s">
        <v>25</v>
      </c>
      <c r="G8" s="430" t="s">
        <v>26</v>
      </c>
      <c r="H8" s="430" t="s">
        <v>22</v>
      </c>
      <c r="I8" s="430" t="s">
        <v>27</v>
      </c>
      <c r="J8" s="430" t="s">
        <v>28</v>
      </c>
      <c r="K8" s="430" t="s">
        <v>29</v>
      </c>
      <c r="L8" s="430" t="s">
        <v>23</v>
      </c>
      <c r="M8" s="461" t="s">
        <v>30</v>
      </c>
      <c r="N8" s="124" t="s">
        <v>24</v>
      </c>
      <c r="O8" s="125"/>
      <c r="P8" s="125"/>
      <c r="Q8" s="294"/>
      <c r="R8" s="165"/>
      <c r="S8" s="430" t="s">
        <v>25</v>
      </c>
      <c r="T8" s="430" t="s">
        <v>31</v>
      </c>
      <c r="U8" s="430" t="s">
        <v>32</v>
      </c>
      <c r="V8" s="167" t="s">
        <v>33</v>
      </c>
      <c r="W8" s="416" t="s">
        <v>34</v>
      </c>
      <c r="X8" s="416" t="s">
        <v>35</v>
      </c>
      <c r="Y8" s="418" t="s">
        <v>36</v>
      </c>
      <c r="Z8" s="418" t="s">
        <v>37</v>
      </c>
      <c r="AA8" s="418" t="s">
        <v>38</v>
      </c>
      <c r="AC8" s="410" t="s">
        <v>39</v>
      </c>
      <c r="AD8" s="410" t="s">
        <v>40</v>
      </c>
      <c r="AE8" s="410" t="s">
        <v>41</v>
      </c>
      <c r="AF8" s="412" t="s">
        <v>42</v>
      </c>
      <c r="AG8" s="412" t="s">
        <v>43</v>
      </c>
      <c r="AH8" s="412" t="s">
        <v>44</v>
      </c>
      <c r="AI8" s="502" t="s">
        <v>45</v>
      </c>
      <c r="AJ8" s="500" t="s">
        <v>46</v>
      </c>
      <c r="AK8" s="502" t="s">
        <v>47</v>
      </c>
    </row>
    <row r="9" spans="1:37" ht="45" customHeight="1" x14ac:dyDescent="0.25">
      <c r="A9" s="464"/>
      <c r="B9" s="466"/>
      <c r="C9" s="466"/>
      <c r="D9" s="166" t="s">
        <v>48</v>
      </c>
      <c r="E9" s="166" t="s">
        <v>49</v>
      </c>
      <c r="F9" s="466"/>
      <c r="G9" s="430"/>
      <c r="H9" s="430"/>
      <c r="I9" s="430" t="s">
        <v>27</v>
      </c>
      <c r="J9" s="430"/>
      <c r="K9" s="430"/>
      <c r="L9" s="430" t="s">
        <v>23</v>
      </c>
      <c r="M9" s="461"/>
      <c r="N9" s="127">
        <v>2012</v>
      </c>
      <c r="O9" s="128">
        <v>2013</v>
      </c>
      <c r="P9" s="127">
        <v>2014</v>
      </c>
      <c r="Q9" s="127">
        <v>2015</v>
      </c>
      <c r="R9" s="127">
        <v>2016</v>
      </c>
      <c r="S9" s="430" t="s">
        <v>25</v>
      </c>
      <c r="T9" s="430"/>
      <c r="U9" s="430"/>
      <c r="V9" s="268" t="s">
        <v>33</v>
      </c>
      <c r="W9" s="506"/>
      <c r="X9" s="506"/>
      <c r="Y9" s="417"/>
      <c r="Z9" s="417" t="s">
        <v>33</v>
      </c>
      <c r="AA9" s="417" t="s">
        <v>33</v>
      </c>
      <c r="AC9" s="411"/>
      <c r="AD9" s="411" t="s">
        <v>33</v>
      </c>
      <c r="AE9" s="411" t="s">
        <v>33</v>
      </c>
      <c r="AF9" s="458"/>
      <c r="AG9" s="458" t="s">
        <v>33</v>
      </c>
      <c r="AH9" s="458" t="s">
        <v>33</v>
      </c>
      <c r="AI9" s="503"/>
      <c r="AJ9" s="501"/>
      <c r="AK9" s="503"/>
    </row>
    <row r="10" spans="1:37" s="87" customFormat="1" ht="90" x14ac:dyDescent="0.25">
      <c r="A10" s="38"/>
      <c r="B10" s="38"/>
      <c r="C10" s="38"/>
      <c r="D10" s="38"/>
      <c r="E10" s="38"/>
      <c r="F10" s="38"/>
      <c r="G10" s="43" t="s">
        <v>1118</v>
      </c>
      <c r="H10" s="45" t="s">
        <v>1119</v>
      </c>
      <c r="I10" s="45" t="s">
        <v>1120</v>
      </c>
      <c r="J10" s="45" t="s">
        <v>1121</v>
      </c>
      <c r="K10" s="45" t="s">
        <v>1122</v>
      </c>
      <c r="L10" s="45" t="s">
        <v>1123</v>
      </c>
      <c r="M10" s="46">
        <v>0.3</v>
      </c>
      <c r="N10" s="51">
        <v>0.2</v>
      </c>
      <c r="O10" s="52">
        <v>0.2</v>
      </c>
      <c r="P10" s="53">
        <v>0.2</v>
      </c>
      <c r="Q10" s="54">
        <v>0.2</v>
      </c>
      <c r="R10" s="55">
        <v>0.2</v>
      </c>
      <c r="S10" s="45" t="s">
        <v>1124</v>
      </c>
      <c r="T10" s="45"/>
      <c r="U10" s="384" t="s">
        <v>1125</v>
      </c>
      <c r="V10" s="36" t="s">
        <v>1126</v>
      </c>
      <c r="W10" s="35">
        <v>1</v>
      </c>
      <c r="X10" s="40"/>
      <c r="Y10" s="72" t="s">
        <v>1127</v>
      </c>
      <c r="Z10" s="35">
        <v>1</v>
      </c>
      <c r="AA10" s="40"/>
      <c r="AC10" s="36" t="s">
        <v>1128</v>
      </c>
      <c r="AD10" s="36" t="s">
        <v>84</v>
      </c>
      <c r="AE10" s="38"/>
      <c r="AF10" s="36" t="s">
        <v>1129</v>
      </c>
      <c r="AG10" s="147">
        <v>1</v>
      </c>
      <c r="AH10" s="38"/>
      <c r="AI10" s="45" t="s">
        <v>1130</v>
      </c>
      <c r="AJ10" s="38"/>
      <c r="AK10" s="38"/>
    </row>
    <row r="11" spans="1:37" s="87" customFormat="1" ht="105" x14ac:dyDescent="0.25">
      <c r="A11" s="38"/>
      <c r="B11" s="38"/>
      <c r="C11" s="38"/>
      <c r="D11" s="38"/>
      <c r="E11" s="38"/>
      <c r="F11" s="38"/>
      <c r="G11" s="43" t="s">
        <v>1118</v>
      </c>
      <c r="H11" s="38"/>
      <c r="I11" s="38"/>
      <c r="J11" s="38"/>
      <c r="K11" s="45" t="s">
        <v>1131</v>
      </c>
      <c r="L11" s="45" t="s">
        <v>1132</v>
      </c>
      <c r="M11" s="46">
        <v>0.3</v>
      </c>
      <c r="N11" s="51">
        <v>0.2</v>
      </c>
      <c r="O11" s="52">
        <v>0.2</v>
      </c>
      <c r="P11" s="53">
        <v>0.2</v>
      </c>
      <c r="Q11" s="54">
        <v>0.2</v>
      </c>
      <c r="R11" s="55">
        <v>0.2</v>
      </c>
      <c r="S11" s="45" t="s">
        <v>1124</v>
      </c>
      <c r="T11" s="38"/>
      <c r="U11" s="510"/>
      <c r="V11" s="36" t="s">
        <v>1133</v>
      </c>
      <c r="W11" s="35">
        <v>1</v>
      </c>
      <c r="X11" s="40"/>
      <c r="Y11" s="72" t="s">
        <v>1134</v>
      </c>
      <c r="Z11" s="35">
        <v>1</v>
      </c>
      <c r="AA11" s="40"/>
      <c r="AC11" s="36" t="s">
        <v>1135</v>
      </c>
      <c r="AD11" s="36" t="s">
        <v>84</v>
      </c>
      <c r="AE11" s="38"/>
      <c r="AF11" s="36" t="s">
        <v>1136</v>
      </c>
      <c r="AG11" s="147">
        <v>1</v>
      </c>
      <c r="AH11" s="38"/>
      <c r="AI11" s="45" t="s">
        <v>1137</v>
      </c>
      <c r="AJ11" s="38"/>
      <c r="AK11" s="38"/>
    </row>
    <row r="12" spans="1:37" s="87" customFormat="1" ht="375" x14ac:dyDescent="0.25">
      <c r="A12" s="38"/>
      <c r="B12" s="38"/>
      <c r="C12" s="38"/>
      <c r="D12" s="38"/>
      <c r="E12" s="38"/>
      <c r="F12" s="38"/>
      <c r="G12" s="43" t="s">
        <v>1118</v>
      </c>
      <c r="H12" s="38"/>
      <c r="I12" s="38"/>
      <c r="J12" s="38"/>
      <c r="K12" s="45" t="s">
        <v>1138</v>
      </c>
      <c r="L12" s="45" t="s">
        <v>1123</v>
      </c>
      <c r="M12" s="46">
        <v>0.3</v>
      </c>
      <c r="N12" s="51">
        <v>0.2</v>
      </c>
      <c r="O12" s="52">
        <v>0.2</v>
      </c>
      <c r="P12" s="53">
        <v>0.2</v>
      </c>
      <c r="Q12" s="54">
        <v>0.2</v>
      </c>
      <c r="R12" s="55">
        <v>0.2</v>
      </c>
      <c r="S12" s="45" t="s">
        <v>119</v>
      </c>
      <c r="T12" s="38"/>
      <c r="U12" s="510"/>
      <c r="V12" s="36" t="s">
        <v>1139</v>
      </c>
      <c r="W12" s="35">
        <v>1</v>
      </c>
      <c r="X12" s="40"/>
      <c r="Y12" s="195" t="s">
        <v>1140</v>
      </c>
      <c r="Z12" s="35">
        <v>1</v>
      </c>
      <c r="AA12" s="40"/>
      <c r="AC12" s="45" t="s">
        <v>1141</v>
      </c>
      <c r="AD12" s="36" t="s">
        <v>84</v>
      </c>
      <c r="AE12" s="45"/>
      <c r="AF12" s="45" t="s">
        <v>1142</v>
      </c>
      <c r="AG12" s="147">
        <v>1</v>
      </c>
      <c r="AH12" s="38"/>
      <c r="AI12" s="60" t="s">
        <v>1142</v>
      </c>
      <c r="AJ12" s="38"/>
      <c r="AK12" s="38"/>
    </row>
    <row r="13" spans="1:37" s="87" customFormat="1" ht="165" x14ac:dyDescent="0.25">
      <c r="A13" s="38"/>
      <c r="B13" s="38"/>
      <c r="C13" s="38"/>
      <c r="D13" s="38"/>
      <c r="E13" s="38"/>
      <c r="F13" s="38"/>
      <c r="G13" s="43" t="s">
        <v>1118</v>
      </c>
      <c r="H13" s="38"/>
      <c r="I13" s="38"/>
      <c r="J13" s="38"/>
      <c r="K13" s="45" t="s">
        <v>1143</v>
      </c>
      <c r="L13" s="45" t="s">
        <v>479</v>
      </c>
      <c r="M13" s="46">
        <v>0.1</v>
      </c>
      <c r="N13" s="51">
        <v>0.2</v>
      </c>
      <c r="O13" s="52">
        <v>0.2</v>
      </c>
      <c r="P13" s="53">
        <v>0.2</v>
      </c>
      <c r="Q13" s="54">
        <v>0.2</v>
      </c>
      <c r="R13" s="55">
        <v>0.2</v>
      </c>
      <c r="S13" s="45" t="s">
        <v>1124</v>
      </c>
      <c r="T13" s="38"/>
      <c r="U13" s="474"/>
      <c r="V13" s="36" t="s">
        <v>1144</v>
      </c>
      <c r="W13" s="35">
        <v>1</v>
      </c>
      <c r="X13" s="40"/>
      <c r="Y13" s="269" t="s">
        <v>1145</v>
      </c>
      <c r="Z13" s="35">
        <v>1</v>
      </c>
      <c r="AA13" s="40"/>
      <c r="AC13" s="36" t="s">
        <v>1146</v>
      </c>
      <c r="AD13" s="36" t="s">
        <v>84</v>
      </c>
      <c r="AE13" s="38"/>
      <c r="AF13" s="90" t="s">
        <v>1147</v>
      </c>
      <c r="AG13" s="147">
        <v>1</v>
      </c>
      <c r="AH13" s="38"/>
      <c r="AI13" s="60" t="s">
        <v>1148</v>
      </c>
      <c r="AJ13" s="38"/>
      <c r="AK13" s="38"/>
    </row>
    <row r="14" spans="1:37" s="87" customFormat="1" ht="165" hidden="1" x14ac:dyDescent="0.25">
      <c r="A14" s="38"/>
      <c r="B14" s="38"/>
      <c r="C14" s="38"/>
      <c r="D14" s="38"/>
      <c r="E14" s="38"/>
      <c r="F14" s="38"/>
      <c r="G14" s="43" t="s">
        <v>1118</v>
      </c>
      <c r="H14" s="45" t="s">
        <v>1149</v>
      </c>
      <c r="I14" s="45" t="s">
        <v>1150</v>
      </c>
      <c r="J14" s="45" t="s">
        <v>1151</v>
      </c>
      <c r="K14" s="45" t="s">
        <v>1152</v>
      </c>
      <c r="L14" s="45" t="s">
        <v>1153</v>
      </c>
      <c r="M14" s="46">
        <v>0.5</v>
      </c>
      <c r="N14" s="46">
        <v>1</v>
      </c>
      <c r="O14" s="46"/>
      <c r="P14" s="46"/>
      <c r="Q14" s="46"/>
      <c r="R14" s="46"/>
      <c r="S14" s="45" t="s">
        <v>1154</v>
      </c>
      <c r="T14" s="38"/>
      <c r="U14" s="384" t="s">
        <v>1155</v>
      </c>
      <c r="V14" s="36" t="s">
        <v>1156</v>
      </c>
      <c r="W14" s="35">
        <v>0.4</v>
      </c>
      <c r="X14" s="45" t="s">
        <v>1157</v>
      </c>
      <c r="Y14" s="40"/>
      <c r="Z14" s="40"/>
      <c r="AA14" s="40"/>
      <c r="AB14" s="130" t="s">
        <v>1158</v>
      </c>
      <c r="AC14" s="36" t="s">
        <v>1159</v>
      </c>
      <c r="AD14" s="38"/>
      <c r="AE14" s="38"/>
      <c r="AF14" s="38"/>
      <c r="AG14" s="147"/>
      <c r="AH14" s="38"/>
      <c r="AI14" s="38"/>
      <c r="AJ14" s="38"/>
      <c r="AK14" s="38"/>
    </row>
    <row r="15" spans="1:37" s="87" customFormat="1" ht="105" hidden="1" x14ac:dyDescent="0.25">
      <c r="A15" s="38"/>
      <c r="B15" s="38"/>
      <c r="C15" s="38"/>
      <c r="D15" s="38"/>
      <c r="E15" s="38"/>
      <c r="F15" s="38"/>
      <c r="G15" s="43" t="s">
        <v>1118</v>
      </c>
      <c r="H15" s="45"/>
      <c r="I15" s="45"/>
      <c r="J15" s="45"/>
      <c r="K15" s="44" t="s">
        <v>1160</v>
      </c>
      <c r="L15" s="45" t="s">
        <v>1161</v>
      </c>
      <c r="M15" s="46">
        <v>0.5</v>
      </c>
      <c r="N15" s="46"/>
      <c r="O15" s="52">
        <v>0.5</v>
      </c>
      <c r="P15" s="53">
        <v>0.5</v>
      </c>
      <c r="Q15" s="46"/>
      <c r="R15" s="46"/>
      <c r="S15" s="45" t="s">
        <v>1154</v>
      </c>
      <c r="T15" s="38"/>
      <c r="U15" s="386"/>
      <c r="V15" s="40"/>
      <c r="W15" s="35"/>
      <c r="X15" s="40"/>
      <c r="Y15" s="250" t="s">
        <v>1162</v>
      </c>
      <c r="Z15" s="35">
        <v>0.65</v>
      </c>
      <c r="AA15" s="40"/>
      <c r="AC15" s="36" t="s">
        <v>1163</v>
      </c>
      <c r="AD15" s="36" t="s">
        <v>1164</v>
      </c>
      <c r="AE15" s="38"/>
      <c r="AF15" s="38"/>
      <c r="AG15" s="147"/>
      <c r="AH15" s="38"/>
      <c r="AI15" s="38"/>
      <c r="AJ15" s="38"/>
      <c r="AK15" s="38"/>
    </row>
    <row r="16" spans="1:37" ht="120" customHeight="1" x14ac:dyDescent="0.25">
      <c r="G16" s="278"/>
      <c r="H16" s="72"/>
      <c r="I16" s="36"/>
      <c r="J16" s="36" t="s">
        <v>1165</v>
      </c>
      <c r="K16" s="270" t="s">
        <v>1166</v>
      </c>
      <c r="L16" s="36" t="s">
        <v>88</v>
      </c>
      <c r="M16" s="271">
        <v>1</v>
      </c>
      <c r="N16" s="35"/>
      <c r="O16" s="35"/>
      <c r="P16" s="35"/>
      <c r="Q16" s="35">
        <v>0.5</v>
      </c>
      <c r="R16" s="35">
        <v>0.5</v>
      </c>
      <c r="S16" s="36" t="s">
        <v>1154</v>
      </c>
      <c r="T16" s="40"/>
      <c r="U16" s="33" t="s">
        <v>1167</v>
      </c>
      <c r="V16" s="278"/>
      <c r="W16" s="278"/>
      <c r="X16" s="278"/>
      <c r="Y16" s="278"/>
      <c r="Z16" s="278"/>
      <c r="AA16" s="278"/>
      <c r="AB16" s="278"/>
      <c r="AC16" s="278"/>
      <c r="AD16" s="278"/>
      <c r="AE16" s="278"/>
      <c r="AF16" s="40" t="s">
        <v>1168</v>
      </c>
      <c r="AG16" s="272">
        <v>1</v>
      </c>
      <c r="AH16" s="40"/>
      <c r="AI16" s="274"/>
      <c r="AJ16" s="274"/>
      <c r="AK16" s="274"/>
    </row>
    <row r="17" spans="8:21" s="18" customFormat="1" ht="27" customHeight="1" x14ac:dyDescent="0.25">
      <c r="J17" s="275"/>
      <c r="M17" s="276"/>
      <c r="U17" s="277"/>
    </row>
    <row r="18" spans="8:21" s="18" customFormat="1" x14ac:dyDescent="0.25">
      <c r="H18" s="277"/>
      <c r="I18" s="277"/>
      <c r="J18" s="275"/>
      <c r="M18" s="276"/>
      <c r="U18" s="277"/>
    </row>
    <row r="19" spans="8:21" s="18" customFormat="1" x14ac:dyDescent="0.25">
      <c r="J19" s="275"/>
      <c r="U19" s="277"/>
    </row>
  </sheetData>
  <protectedRanges>
    <protectedRange sqref="V10" name="Rango1_4_6"/>
    <protectedRange sqref="V12" name="Rango1_4_1_2"/>
    <protectedRange sqref="V11" name="Rango1_4_2_2"/>
    <protectedRange sqref="V13" name="Rango1_4_3_2"/>
    <protectedRange sqref="Y15" name="Rango1_4_4_2"/>
    <protectedRange sqref="Y13" name="Rango1_4_5_1"/>
    <protectedRange sqref="AC14" name="Rango1_4"/>
    <protectedRange sqref="AC10" name="Rango1_4_1"/>
    <protectedRange sqref="AC11" name="Rango1_4_2"/>
    <protectedRange sqref="AC15" name="Rango1_4_3"/>
    <protectedRange sqref="AC13" name="Rango1_4_4"/>
    <protectedRange sqref="AC12" name="Rango1_4_5"/>
    <protectedRange sqref="AF12" name="Rango1_4_7"/>
    <protectedRange sqref="AF10" name="Rango1_4_8"/>
    <protectedRange sqref="AF11" name="Rango1_4_9"/>
    <protectedRange sqref="AF13" name="Rango1_4_10"/>
    <protectedRange sqref="AI12" name="Rango1_4_11"/>
  </protectedRanges>
  <mergeCells count="44">
    <mergeCell ref="AI6:AK6"/>
    <mergeCell ref="AF7:AH7"/>
    <mergeCell ref="H5:T5"/>
    <mergeCell ref="V6:X6"/>
    <mergeCell ref="Y6:AA6"/>
    <mergeCell ref="AC6:AE6"/>
    <mergeCell ref="AF6:AH6"/>
    <mergeCell ref="U8:U9"/>
    <mergeCell ref="AI7:AK7"/>
    <mergeCell ref="A8:A9"/>
    <mergeCell ref="B8:B9"/>
    <mergeCell ref="C8:C9"/>
    <mergeCell ref="D8:E8"/>
    <mergeCell ref="F8:F9"/>
    <mergeCell ref="G8:G9"/>
    <mergeCell ref="H8:H9"/>
    <mergeCell ref="I8:I9"/>
    <mergeCell ref="J8:J9"/>
    <mergeCell ref="A7:F7"/>
    <mergeCell ref="G7:U7"/>
    <mergeCell ref="V7:X7"/>
    <mergeCell ref="Y7:AA7"/>
    <mergeCell ref="AC7:AE7"/>
    <mergeCell ref="K8:K9"/>
    <mergeCell ref="L8:L9"/>
    <mergeCell ref="M8:M9"/>
    <mergeCell ref="S8:S9"/>
    <mergeCell ref="T8:T9"/>
    <mergeCell ref="AJ8:AJ9"/>
    <mergeCell ref="AK8:AK9"/>
    <mergeCell ref="U10:U13"/>
    <mergeCell ref="U14:U15"/>
    <mergeCell ref="AD8:AD9"/>
    <mergeCell ref="AE8:AE9"/>
    <mergeCell ref="AF8:AF9"/>
    <mergeCell ref="AG8:AG9"/>
    <mergeCell ref="AH8:AH9"/>
    <mergeCell ref="AI8:AI9"/>
    <mergeCell ref="W8:W9"/>
    <mergeCell ref="X8:X9"/>
    <mergeCell ref="Y8:Y9"/>
    <mergeCell ref="Z8:Z9"/>
    <mergeCell ref="AA8:AA9"/>
    <mergeCell ref="AC8:AC9"/>
  </mergeCells>
  <printOptions horizontalCentered="1" verticalCentered="1"/>
  <pageMargins left="0.70866141732283472" right="0.70866141732283472" top="0.74803149606299213" bottom="0.74803149606299213" header="0.31496062992125984" footer="0.31496062992125984"/>
  <pageSetup paperSize="9" scale="55"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4"/>
  <sheetViews>
    <sheetView topLeftCell="G1" workbookViewId="0">
      <selection activeCell="G5" sqref="G5"/>
    </sheetView>
  </sheetViews>
  <sheetFormatPr baseColWidth="10" defaultRowHeight="15" x14ac:dyDescent="0.25"/>
  <cols>
    <col min="1" max="1" width="22" hidden="1" customWidth="1"/>
    <col min="2" max="3" width="23.140625" hidden="1" customWidth="1"/>
    <col min="4" max="4" width="10.5703125" hidden="1" customWidth="1"/>
    <col min="5" max="5" width="9" hidden="1" customWidth="1"/>
    <col min="6" max="6" width="18.42578125" hidden="1" customWidth="1"/>
    <col min="7" max="7" width="19.7109375" customWidth="1"/>
    <col min="8" max="8" width="22.42578125" customWidth="1"/>
    <col min="9" max="9" width="27.5703125" customWidth="1"/>
    <col min="10" max="10" width="20.85546875" customWidth="1"/>
    <col min="11" max="11" width="21.5703125" customWidth="1"/>
    <col min="13" max="13" width="8.140625" hidden="1" customWidth="1"/>
    <col min="14" max="14" width="6.7109375" hidden="1" customWidth="1"/>
    <col min="15" max="16" width="7.7109375" hidden="1" customWidth="1"/>
    <col min="17" max="17" width="8" customWidth="1"/>
    <col min="18" max="18" width="7.85546875" hidden="1" customWidth="1"/>
    <col min="19" max="19" width="15.7109375" customWidth="1"/>
    <col min="20" max="20" width="15.28515625" hidden="1" customWidth="1"/>
    <col min="21" max="21" width="15.42578125" hidden="1" customWidth="1"/>
    <col min="22" max="22" width="18.140625" hidden="1" customWidth="1"/>
    <col min="23" max="24" width="11.42578125" hidden="1" customWidth="1"/>
    <col min="25" max="25" width="16.7109375" hidden="1" customWidth="1"/>
    <col min="26" max="26" width="19.7109375" hidden="1" customWidth="1"/>
    <col min="27" max="27" width="54.140625" hidden="1" customWidth="1"/>
    <col min="28" max="28" width="19.85546875" hidden="1" customWidth="1"/>
    <col min="29" max="29" width="15.140625" hidden="1" customWidth="1"/>
    <col min="30" max="30" width="15.7109375" hidden="1" customWidth="1"/>
    <col min="31" max="31" width="26.28515625" customWidth="1"/>
    <col min="32" max="32" width="15.5703125" customWidth="1"/>
    <col min="33" max="33" width="19.42578125" customWidth="1"/>
    <col min="34" max="34" width="34.28515625" hidden="1" customWidth="1"/>
    <col min="35" max="35" width="18.140625" hidden="1" customWidth="1"/>
    <col min="36" max="36" width="22.5703125" hidden="1" customWidth="1"/>
  </cols>
  <sheetData>
    <row r="1" spans="1:36" ht="23.25" x14ac:dyDescent="0.35">
      <c r="A1" s="4" t="s">
        <v>1</v>
      </c>
      <c r="G1" s="4" t="s">
        <v>1</v>
      </c>
      <c r="H1" s="511"/>
      <c r="I1" s="511"/>
      <c r="J1" s="511"/>
      <c r="K1" s="511"/>
      <c r="L1" s="511"/>
      <c r="M1" s="511"/>
      <c r="N1" s="511"/>
      <c r="O1" s="511"/>
      <c r="P1" s="511"/>
      <c r="Q1" s="511"/>
      <c r="R1" s="511"/>
      <c r="S1" s="511"/>
      <c r="T1" s="511"/>
      <c r="V1" s="1"/>
      <c r="W1" t="s">
        <v>0</v>
      </c>
      <c r="AB1" s="6"/>
      <c r="AC1" t="s">
        <v>3</v>
      </c>
    </row>
    <row r="2" spans="1:36" ht="23.25" x14ac:dyDescent="0.35">
      <c r="A2" s="4" t="s">
        <v>4</v>
      </c>
      <c r="B2" s="227"/>
      <c r="C2" s="227"/>
      <c r="D2" s="227"/>
      <c r="E2" s="227"/>
      <c r="F2" s="227"/>
      <c r="G2" s="4" t="s">
        <v>4</v>
      </c>
      <c r="H2" s="227"/>
      <c r="I2" s="227"/>
      <c r="J2" s="227"/>
      <c r="K2" s="227"/>
      <c r="L2" s="227"/>
      <c r="M2" s="227"/>
      <c r="N2" s="227"/>
      <c r="O2" s="227"/>
      <c r="P2" s="227"/>
      <c r="Q2" s="227"/>
      <c r="R2" s="227"/>
      <c r="S2" s="227"/>
      <c r="T2" s="227"/>
      <c r="U2" s="228"/>
      <c r="V2" s="5"/>
      <c r="W2" t="s">
        <v>2</v>
      </c>
      <c r="AB2" s="8"/>
      <c r="AC2" t="s">
        <v>6</v>
      </c>
    </row>
    <row r="3" spans="1:36" ht="23.25" x14ac:dyDescent="0.35">
      <c r="A3" s="4" t="s">
        <v>7</v>
      </c>
      <c r="B3" s="227"/>
      <c r="C3" s="227"/>
      <c r="D3" s="227"/>
      <c r="E3" s="227"/>
      <c r="F3" s="227"/>
      <c r="G3" s="4" t="s">
        <v>7</v>
      </c>
      <c r="H3" s="227"/>
      <c r="I3" s="227"/>
      <c r="J3" s="227"/>
      <c r="K3" s="227"/>
      <c r="L3" s="227"/>
      <c r="M3" s="227"/>
      <c r="N3" s="227"/>
      <c r="O3" s="227"/>
      <c r="P3" s="227"/>
      <c r="Q3" s="227"/>
      <c r="R3" s="227"/>
      <c r="S3" s="227"/>
      <c r="T3" s="227"/>
      <c r="U3" s="228"/>
      <c r="V3" s="7"/>
      <c r="W3" t="s">
        <v>5</v>
      </c>
      <c r="AB3" s="10"/>
      <c r="AC3" t="s">
        <v>9</v>
      </c>
      <c r="AH3" t="s">
        <v>1169</v>
      </c>
      <c r="AI3" s="123"/>
    </row>
    <row r="4" spans="1:36" ht="23.25" x14ac:dyDescent="0.35">
      <c r="A4" s="4" t="s">
        <v>1170</v>
      </c>
      <c r="B4" s="227"/>
      <c r="C4" s="227"/>
      <c r="D4" s="227"/>
      <c r="E4" s="227"/>
      <c r="F4" s="227"/>
      <c r="G4" s="4" t="s">
        <v>2228</v>
      </c>
      <c r="H4" s="227"/>
      <c r="I4" s="227"/>
      <c r="J4" s="227"/>
      <c r="K4" s="227"/>
      <c r="L4" s="227"/>
      <c r="M4" s="227"/>
      <c r="N4" s="227"/>
      <c r="O4" s="227"/>
      <c r="P4" s="227"/>
      <c r="Q4" s="227"/>
      <c r="R4" s="227"/>
      <c r="S4" s="227"/>
      <c r="T4" s="227"/>
      <c r="U4" s="228"/>
      <c r="V4" s="9"/>
      <c r="W4" t="s">
        <v>8</v>
      </c>
    </row>
    <row r="5" spans="1:36" ht="23.25" x14ac:dyDescent="0.35">
      <c r="G5" s="4" t="s">
        <v>2224</v>
      </c>
      <c r="H5" s="11"/>
      <c r="I5" s="11"/>
      <c r="J5" s="11"/>
      <c r="K5" s="11"/>
      <c r="L5" s="11"/>
      <c r="M5" s="11"/>
      <c r="N5" s="11"/>
      <c r="O5" s="11"/>
      <c r="V5" s="473" t="s">
        <v>13</v>
      </c>
      <c r="W5" s="473"/>
      <c r="X5" s="473"/>
      <c r="Y5" s="453" t="s">
        <v>13</v>
      </c>
      <c r="Z5" s="453"/>
      <c r="AA5" s="453"/>
      <c r="AB5" s="453" t="s">
        <v>13</v>
      </c>
      <c r="AC5" s="453"/>
      <c r="AD5" s="453"/>
      <c r="AE5" s="471" t="s">
        <v>13</v>
      </c>
      <c r="AF5" s="471"/>
      <c r="AG5" s="471"/>
      <c r="AH5" s="454" t="s">
        <v>13</v>
      </c>
      <c r="AI5" s="455"/>
      <c r="AJ5" s="456"/>
    </row>
    <row r="6" spans="1:36" x14ac:dyDescent="0.25">
      <c r="A6" s="472" t="s">
        <v>14</v>
      </c>
      <c r="B6" s="472"/>
      <c r="C6" s="472"/>
      <c r="D6" s="472"/>
      <c r="E6" s="472"/>
      <c r="F6" s="472"/>
      <c r="G6" s="435" t="s">
        <v>304</v>
      </c>
      <c r="H6" s="436"/>
      <c r="I6" s="436"/>
      <c r="J6" s="436"/>
      <c r="K6" s="436"/>
      <c r="L6" s="436"/>
      <c r="M6" s="436"/>
      <c r="N6" s="436"/>
      <c r="O6" s="436"/>
      <c r="P6" s="436"/>
      <c r="Q6" s="436"/>
      <c r="R6" s="436"/>
      <c r="S6" s="436"/>
      <c r="T6" s="436"/>
      <c r="U6" s="436"/>
      <c r="V6" s="435" t="s">
        <v>16</v>
      </c>
      <c r="W6" s="436"/>
      <c r="X6" s="437"/>
      <c r="Y6" s="438" t="s">
        <v>17</v>
      </c>
      <c r="Z6" s="439"/>
      <c r="AA6" s="440"/>
      <c r="AB6" s="441" t="s">
        <v>18</v>
      </c>
      <c r="AC6" s="442"/>
      <c r="AD6" s="443"/>
      <c r="AE6" s="444" t="s">
        <v>19</v>
      </c>
      <c r="AF6" s="445"/>
      <c r="AG6" s="446"/>
      <c r="AH6" s="424" t="s">
        <v>20</v>
      </c>
      <c r="AI6" s="425"/>
      <c r="AJ6" s="426"/>
    </row>
    <row r="7" spans="1:36" ht="30" x14ac:dyDescent="0.25">
      <c r="A7" s="429" t="s">
        <v>21</v>
      </c>
      <c r="B7" s="465" t="s">
        <v>22</v>
      </c>
      <c r="C7" s="465" t="s">
        <v>23</v>
      </c>
      <c r="D7" s="467" t="s">
        <v>24</v>
      </c>
      <c r="E7" s="468"/>
      <c r="F7" s="465" t="s">
        <v>25</v>
      </c>
      <c r="G7" s="430" t="s">
        <v>26</v>
      </c>
      <c r="H7" s="430" t="s">
        <v>22</v>
      </c>
      <c r="I7" s="430" t="s">
        <v>27</v>
      </c>
      <c r="J7" s="430" t="s">
        <v>28</v>
      </c>
      <c r="K7" s="430" t="s">
        <v>29</v>
      </c>
      <c r="L7" s="431" t="s">
        <v>23</v>
      </c>
      <c r="M7" s="462" t="s">
        <v>30</v>
      </c>
      <c r="N7" s="514" t="s">
        <v>24</v>
      </c>
      <c r="O7" s="515"/>
      <c r="P7" s="515"/>
      <c r="Q7" s="515"/>
      <c r="R7" s="516"/>
      <c r="S7" s="462" t="s">
        <v>25</v>
      </c>
      <c r="T7" s="462" t="s">
        <v>31</v>
      </c>
      <c r="U7" s="462" t="s">
        <v>1171</v>
      </c>
      <c r="V7" s="167" t="s">
        <v>33</v>
      </c>
      <c r="W7" s="416" t="s">
        <v>34</v>
      </c>
      <c r="X7" s="416" t="s">
        <v>35</v>
      </c>
      <c r="Y7" s="418" t="s">
        <v>36</v>
      </c>
      <c r="Z7" s="418" t="s">
        <v>37</v>
      </c>
      <c r="AA7" s="418" t="s">
        <v>38</v>
      </c>
      <c r="AB7" s="410" t="s">
        <v>39</v>
      </c>
      <c r="AC7" s="410" t="s">
        <v>40</v>
      </c>
      <c r="AD7" s="410" t="s">
        <v>41</v>
      </c>
      <c r="AE7" s="412" t="s">
        <v>42</v>
      </c>
      <c r="AF7" s="412" t="s">
        <v>43</v>
      </c>
      <c r="AG7" s="412" t="s">
        <v>44</v>
      </c>
      <c r="AH7" s="502" t="s">
        <v>45</v>
      </c>
      <c r="AI7" s="500" t="s">
        <v>46</v>
      </c>
      <c r="AJ7" s="502" t="s">
        <v>47</v>
      </c>
    </row>
    <row r="8" spans="1:36" ht="30" x14ac:dyDescent="0.25">
      <c r="A8" s="464"/>
      <c r="B8" s="466"/>
      <c r="C8" s="466"/>
      <c r="D8" s="166" t="s">
        <v>48</v>
      </c>
      <c r="E8" s="166" t="s">
        <v>49</v>
      </c>
      <c r="F8" s="466"/>
      <c r="G8" s="430"/>
      <c r="H8" s="430"/>
      <c r="I8" s="430" t="s">
        <v>27</v>
      </c>
      <c r="J8" s="430"/>
      <c r="K8" s="430"/>
      <c r="L8" s="507"/>
      <c r="M8" s="463"/>
      <c r="N8" s="127">
        <v>2012</v>
      </c>
      <c r="O8" s="127">
        <v>2013</v>
      </c>
      <c r="P8" s="127">
        <v>2014</v>
      </c>
      <c r="Q8" s="127">
        <v>2015</v>
      </c>
      <c r="R8" s="127">
        <v>2016</v>
      </c>
      <c r="S8" s="463" t="s">
        <v>25</v>
      </c>
      <c r="T8" s="463"/>
      <c r="U8" s="463"/>
      <c r="V8" s="230" t="s">
        <v>33</v>
      </c>
      <c r="W8" s="506"/>
      <c r="X8" s="506"/>
      <c r="Y8" s="417"/>
      <c r="Z8" s="417" t="s">
        <v>36</v>
      </c>
      <c r="AA8" s="417" t="s">
        <v>33</v>
      </c>
      <c r="AB8" s="411"/>
      <c r="AC8" s="411" t="s">
        <v>33</v>
      </c>
      <c r="AD8" s="411" t="s">
        <v>33</v>
      </c>
      <c r="AE8" s="458"/>
      <c r="AF8" s="458" t="s">
        <v>33</v>
      </c>
      <c r="AG8" s="458" t="s">
        <v>33</v>
      </c>
      <c r="AH8" s="503"/>
      <c r="AI8" s="501"/>
      <c r="AJ8" s="503"/>
    </row>
    <row r="9" spans="1:36" s="87" customFormat="1" ht="150" x14ac:dyDescent="0.25">
      <c r="A9" s="45" t="s">
        <v>1172</v>
      </c>
      <c r="B9" s="64" t="s">
        <v>1173</v>
      </c>
      <c r="C9" s="64" t="s">
        <v>1174</v>
      </c>
      <c r="D9" s="170">
        <v>40909</v>
      </c>
      <c r="E9" s="170">
        <v>42705</v>
      </c>
      <c r="F9" s="279" t="s">
        <v>1175</v>
      </c>
      <c r="G9" s="43" t="s">
        <v>1176</v>
      </c>
      <c r="H9" s="45" t="s">
        <v>1177</v>
      </c>
      <c r="I9" s="45" t="s">
        <v>1178</v>
      </c>
      <c r="J9" s="49" t="s">
        <v>1179</v>
      </c>
      <c r="K9" s="45" t="s">
        <v>1180</v>
      </c>
      <c r="L9" s="45" t="s">
        <v>1007</v>
      </c>
      <c r="M9" s="46">
        <v>0.3</v>
      </c>
      <c r="N9" s="51">
        <v>0.2</v>
      </c>
      <c r="O9" s="52">
        <v>0.2</v>
      </c>
      <c r="P9" s="53">
        <v>0.2</v>
      </c>
      <c r="Q9" s="54">
        <v>0.2</v>
      </c>
      <c r="R9" s="280">
        <v>0.2</v>
      </c>
      <c r="S9" s="183" t="s">
        <v>1181</v>
      </c>
      <c r="T9" s="86" t="s">
        <v>1182</v>
      </c>
      <c r="U9" s="45" t="s">
        <v>1183</v>
      </c>
      <c r="V9" s="72" t="s">
        <v>1184</v>
      </c>
      <c r="W9" s="107">
        <v>1</v>
      </c>
      <c r="X9" s="72"/>
      <c r="Y9" s="72" t="s">
        <v>1185</v>
      </c>
      <c r="Z9" s="107">
        <v>1</v>
      </c>
      <c r="AA9" s="40"/>
      <c r="AB9" s="72" t="s">
        <v>1185</v>
      </c>
      <c r="AC9" s="72" t="s">
        <v>84</v>
      </c>
      <c r="AD9" s="38"/>
      <c r="AE9" s="183" t="s">
        <v>1186</v>
      </c>
      <c r="AF9" s="147">
        <v>1</v>
      </c>
      <c r="AG9" s="38"/>
      <c r="AH9" s="183" t="s">
        <v>1187</v>
      </c>
      <c r="AI9" s="38"/>
      <c r="AJ9" s="38"/>
    </row>
    <row r="10" spans="1:36" s="87" customFormat="1" ht="180.75" thickBot="1" x14ac:dyDescent="0.3">
      <c r="A10" s="38"/>
      <c r="B10" s="38"/>
      <c r="C10" s="38"/>
      <c r="D10" s="38"/>
      <c r="E10" s="38"/>
      <c r="F10" s="38"/>
      <c r="G10" s="43" t="s">
        <v>1176</v>
      </c>
      <c r="H10" s="38"/>
      <c r="I10" s="38"/>
      <c r="J10" s="45"/>
      <c r="K10" s="45" t="s">
        <v>1188</v>
      </c>
      <c r="L10" s="45" t="s">
        <v>1007</v>
      </c>
      <c r="M10" s="46">
        <v>0.7</v>
      </c>
      <c r="N10" s="51">
        <v>0.2</v>
      </c>
      <c r="O10" s="52">
        <v>0.2</v>
      </c>
      <c r="P10" s="53">
        <v>0.2</v>
      </c>
      <c r="Q10" s="54">
        <v>0.2</v>
      </c>
      <c r="R10" s="280">
        <v>0.2</v>
      </c>
      <c r="S10" s="183" t="s">
        <v>1189</v>
      </c>
      <c r="T10" s="86" t="s">
        <v>1182</v>
      </c>
      <c r="U10" s="45" t="s">
        <v>1190</v>
      </c>
      <c r="V10" s="195" t="s">
        <v>1191</v>
      </c>
      <c r="W10" s="107">
        <v>1</v>
      </c>
      <c r="X10" s="72"/>
      <c r="Y10" s="72" t="s">
        <v>1192</v>
      </c>
      <c r="Z10" s="107">
        <v>1</v>
      </c>
      <c r="AA10" s="40"/>
      <c r="AB10" s="72" t="s">
        <v>1192</v>
      </c>
      <c r="AC10" s="72" t="s">
        <v>84</v>
      </c>
      <c r="AD10" s="38"/>
      <c r="AE10" s="183" t="s">
        <v>1192</v>
      </c>
      <c r="AF10" s="147">
        <v>1</v>
      </c>
      <c r="AG10" s="38"/>
      <c r="AH10" s="183" t="s">
        <v>1193</v>
      </c>
      <c r="AI10" s="38"/>
      <c r="AJ10" s="38"/>
    </row>
    <row r="11" spans="1:36" s="87" customFormat="1" ht="180" hidden="1" x14ac:dyDescent="0.25">
      <c r="A11" s="38"/>
      <c r="B11" s="38"/>
      <c r="C11" s="38"/>
      <c r="D11" s="38"/>
      <c r="E11" s="38"/>
      <c r="F11" s="38"/>
      <c r="G11" s="43" t="s">
        <v>1176</v>
      </c>
      <c r="H11" s="38"/>
      <c r="I11" s="38"/>
      <c r="J11" s="49" t="s">
        <v>1194</v>
      </c>
      <c r="K11" s="45" t="s">
        <v>1195</v>
      </c>
      <c r="L11" s="45" t="s">
        <v>1196</v>
      </c>
      <c r="M11" s="46">
        <v>0.5</v>
      </c>
      <c r="N11" s="51">
        <v>1</v>
      </c>
      <c r="O11" s="86"/>
      <c r="P11" s="86"/>
      <c r="Q11" s="86"/>
      <c r="R11" s="86"/>
      <c r="S11" s="512" t="s">
        <v>1197</v>
      </c>
      <c r="T11" s="512" t="s">
        <v>1198</v>
      </c>
      <c r="U11" s="45" t="s">
        <v>1199</v>
      </c>
      <c r="V11" s="72" t="s">
        <v>1200</v>
      </c>
      <c r="W11" s="35">
        <v>1</v>
      </c>
      <c r="X11" s="40"/>
      <c r="Y11" s="40"/>
      <c r="Z11" s="40"/>
      <c r="AA11" s="40"/>
      <c r="AB11" s="72"/>
      <c r="AC11" s="38"/>
      <c r="AD11" s="38"/>
      <c r="AE11" s="38"/>
      <c r="AF11" s="147"/>
      <c r="AG11" s="38"/>
      <c r="AH11" s="38"/>
      <c r="AI11" s="38"/>
      <c r="AJ11" s="38"/>
    </row>
    <row r="12" spans="1:36" s="87" customFormat="1" ht="195" hidden="1" x14ac:dyDescent="0.25">
      <c r="A12" s="38"/>
      <c r="B12" s="38"/>
      <c r="C12" s="38"/>
      <c r="D12" s="38"/>
      <c r="E12" s="38"/>
      <c r="F12" s="38"/>
      <c r="G12" s="43" t="s">
        <v>1176</v>
      </c>
      <c r="H12" s="38"/>
      <c r="I12" s="38"/>
      <c r="J12" s="45"/>
      <c r="K12" s="45" t="s">
        <v>1201</v>
      </c>
      <c r="L12" s="45" t="s">
        <v>1202</v>
      </c>
      <c r="M12" s="46">
        <v>0.5</v>
      </c>
      <c r="N12" s="86"/>
      <c r="O12" s="86"/>
      <c r="P12" s="53">
        <v>1</v>
      </c>
      <c r="Q12" s="86"/>
      <c r="R12" s="86"/>
      <c r="S12" s="512"/>
      <c r="T12" s="512"/>
      <c r="U12" s="45" t="s">
        <v>1203</v>
      </c>
      <c r="V12" s="72"/>
      <c r="W12" s="35"/>
      <c r="X12" s="40"/>
      <c r="Y12" s="40"/>
      <c r="Z12" s="40"/>
      <c r="AA12" s="40"/>
      <c r="AB12" s="93" t="s">
        <v>1204</v>
      </c>
      <c r="AC12" s="72" t="s">
        <v>84</v>
      </c>
      <c r="AD12" s="38"/>
      <c r="AE12" s="38"/>
      <c r="AF12" s="147"/>
      <c r="AG12" s="38"/>
      <c r="AH12" s="38"/>
      <c r="AI12" s="38"/>
      <c r="AJ12" s="38"/>
    </row>
    <row r="13" spans="1:36" s="87" customFormat="1" ht="165" hidden="1" x14ac:dyDescent="0.25">
      <c r="A13" s="38"/>
      <c r="B13" s="38"/>
      <c r="C13" s="38"/>
      <c r="D13" s="38"/>
      <c r="E13" s="38"/>
      <c r="F13" s="38"/>
      <c r="G13" s="43" t="s">
        <v>1176</v>
      </c>
      <c r="H13" s="38"/>
      <c r="I13" s="38"/>
      <c r="J13" s="49" t="s">
        <v>1205</v>
      </c>
      <c r="K13" s="45" t="s">
        <v>1206</v>
      </c>
      <c r="L13" s="45" t="s">
        <v>1207</v>
      </c>
      <c r="M13" s="46">
        <v>0.5</v>
      </c>
      <c r="N13" s="51">
        <v>1</v>
      </c>
      <c r="O13" s="86"/>
      <c r="P13" s="86"/>
      <c r="Q13" s="86"/>
      <c r="R13" s="86"/>
      <c r="S13" s="45" t="s">
        <v>1208</v>
      </c>
      <c r="T13" s="45" t="s">
        <v>1209</v>
      </c>
      <c r="U13" s="457" t="s">
        <v>1210</v>
      </c>
      <c r="V13" s="72" t="s">
        <v>1211</v>
      </c>
      <c r="W13" s="35">
        <v>1</v>
      </c>
      <c r="X13" s="40"/>
      <c r="Y13" s="40"/>
      <c r="Z13" s="40"/>
      <c r="AA13" s="40"/>
      <c r="AB13" s="38"/>
      <c r="AC13" s="38"/>
      <c r="AD13" s="38"/>
      <c r="AE13" s="38"/>
      <c r="AF13" s="147"/>
      <c r="AG13" s="38"/>
      <c r="AH13" s="38"/>
      <c r="AI13" s="38"/>
      <c r="AJ13" s="38"/>
    </row>
    <row r="14" spans="1:36" s="87" customFormat="1" ht="225" hidden="1" x14ac:dyDescent="0.25">
      <c r="A14" s="38"/>
      <c r="B14" s="38"/>
      <c r="C14" s="38"/>
      <c r="D14" s="38"/>
      <c r="E14" s="38"/>
      <c r="F14" s="38"/>
      <c r="G14" s="43" t="s">
        <v>1176</v>
      </c>
      <c r="H14" s="38"/>
      <c r="I14" s="38"/>
      <c r="J14" s="45"/>
      <c r="K14" s="49" t="s">
        <v>1212</v>
      </c>
      <c r="L14" s="45" t="s">
        <v>1213</v>
      </c>
      <c r="M14" s="46">
        <v>0.5</v>
      </c>
      <c r="N14" s="86"/>
      <c r="O14" s="46">
        <v>1</v>
      </c>
      <c r="P14" s="86"/>
      <c r="Q14" s="86"/>
      <c r="R14" s="86"/>
      <c r="S14" s="183" t="s">
        <v>1214</v>
      </c>
      <c r="T14" s="183" t="s">
        <v>1215</v>
      </c>
      <c r="U14" s="457"/>
      <c r="V14" s="72"/>
      <c r="W14" s="35"/>
      <c r="X14" s="40"/>
      <c r="Y14" s="9"/>
      <c r="Z14" s="46">
        <v>0</v>
      </c>
      <c r="AA14" s="281" t="s">
        <v>1216</v>
      </c>
      <c r="AB14" s="38"/>
      <c r="AC14" s="38"/>
      <c r="AD14" s="38"/>
      <c r="AE14" s="38"/>
      <c r="AF14" s="147"/>
      <c r="AG14" s="38"/>
      <c r="AH14" s="38"/>
      <c r="AI14" s="38"/>
      <c r="AJ14" s="38"/>
    </row>
    <row r="15" spans="1:36" s="87" customFormat="1" ht="240.75" hidden="1" thickBot="1" x14ac:dyDescent="0.3">
      <c r="A15" s="38"/>
      <c r="B15" s="38"/>
      <c r="C15" s="38"/>
      <c r="D15" s="38"/>
      <c r="E15" s="38"/>
      <c r="F15" s="38"/>
      <c r="G15" s="43" t="s">
        <v>1176</v>
      </c>
      <c r="H15" s="38"/>
      <c r="I15" s="38"/>
      <c r="J15" s="49" t="s">
        <v>1217</v>
      </c>
      <c r="K15" s="45" t="s">
        <v>1218</v>
      </c>
      <c r="L15" s="45" t="s">
        <v>1219</v>
      </c>
      <c r="M15" s="46">
        <v>0.25</v>
      </c>
      <c r="N15" s="51">
        <v>1</v>
      </c>
      <c r="O15" s="46"/>
      <c r="P15" s="86"/>
      <c r="Q15" s="86"/>
      <c r="R15" s="86"/>
      <c r="S15" s="512" t="s">
        <v>1220</v>
      </c>
      <c r="T15" s="183" t="s">
        <v>1209</v>
      </c>
      <c r="U15" s="183" t="s">
        <v>1221</v>
      </c>
      <c r="V15" s="72" t="s">
        <v>1222</v>
      </c>
      <c r="W15" s="35">
        <v>1</v>
      </c>
      <c r="X15" s="40"/>
      <c r="Y15" s="40"/>
      <c r="Z15" s="40"/>
      <c r="AA15" s="282"/>
      <c r="AB15" s="38"/>
      <c r="AC15" s="38"/>
      <c r="AD15" s="38"/>
      <c r="AE15" s="38"/>
      <c r="AF15" s="147"/>
      <c r="AG15" s="38"/>
      <c r="AH15" s="38"/>
      <c r="AI15" s="38"/>
      <c r="AJ15" s="38"/>
    </row>
    <row r="16" spans="1:36" s="87" customFormat="1" ht="255.75" thickBot="1" x14ac:dyDescent="0.3">
      <c r="A16" s="38"/>
      <c r="B16" s="38"/>
      <c r="C16" s="38"/>
      <c r="D16" s="38"/>
      <c r="E16" s="38"/>
      <c r="F16" s="38"/>
      <c r="G16" s="43" t="s">
        <v>1176</v>
      </c>
      <c r="H16" s="38"/>
      <c r="I16" s="38"/>
      <c r="J16" s="45"/>
      <c r="K16" s="45" t="s">
        <v>1223</v>
      </c>
      <c r="L16" s="45" t="s">
        <v>1224</v>
      </c>
      <c r="M16" s="46">
        <v>0.75</v>
      </c>
      <c r="N16" s="86"/>
      <c r="O16" s="46">
        <v>0.25</v>
      </c>
      <c r="P16" s="53">
        <v>0.25</v>
      </c>
      <c r="Q16" s="54">
        <v>0.25</v>
      </c>
      <c r="R16" s="55">
        <v>0.25</v>
      </c>
      <c r="S16" s="512"/>
      <c r="T16" s="183" t="s">
        <v>1225</v>
      </c>
      <c r="U16" s="183" t="s">
        <v>1226</v>
      </c>
      <c r="V16" s="72"/>
      <c r="W16" s="35"/>
      <c r="X16" s="40"/>
      <c r="Y16" s="9"/>
      <c r="Z16" s="35">
        <v>1</v>
      </c>
      <c r="AA16" s="45" t="s">
        <v>1227</v>
      </c>
      <c r="AB16" s="209" t="s">
        <v>1228</v>
      </c>
      <c r="AC16" s="209" t="s">
        <v>533</v>
      </c>
      <c r="AD16" s="38"/>
      <c r="AE16" s="283" t="s">
        <v>1228</v>
      </c>
      <c r="AF16" s="147">
        <v>1</v>
      </c>
      <c r="AG16" s="38"/>
      <c r="AH16" s="196" t="s">
        <v>1229</v>
      </c>
      <c r="AI16" s="38"/>
      <c r="AJ16" s="38"/>
    </row>
    <row r="17" spans="1:36" s="87" customFormat="1" ht="105.75" thickBot="1" x14ac:dyDescent="0.3">
      <c r="A17" s="38"/>
      <c r="B17" s="38"/>
      <c r="C17" s="64" t="s">
        <v>1230</v>
      </c>
      <c r="D17" s="170">
        <v>40909</v>
      </c>
      <c r="E17" s="170">
        <v>42705</v>
      </c>
      <c r="F17" s="279" t="s">
        <v>1231</v>
      </c>
      <c r="G17" s="43" t="s">
        <v>1176</v>
      </c>
      <c r="H17" s="45" t="s">
        <v>1232</v>
      </c>
      <c r="I17" s="45" t="s">
        <v>1233</v>
      </c>
      <c r="J17" s="49" t="s">
        <v>1234</v>
      </c>
      <c r="K17" s="45" t="s">
        <v>1235</v>
      </c>
      <c r="L17" s="45" t="s">
        <v>1236</v>
      </c>
      <c r="M17" s="46">
        <v>1</v>
      </c>
      <c r="N17" s="51">
        <v>0.2</v>
      </c>
      <c r="O17" s="52">
        <v>0.2</v>
      </c>
      <c r="P17" s="53">
        <v>0.2</v>
      </c>
      <c r="Q17" s="54">
        <v>0.2</v>
      </c>
      <c r="R17" s="55">
        <v>0.2</v>
      </c>
      <c r="S17" s="183" t="s">
        <v>1237</v>
      </c>
      <c r="T17" s="183" t="s">
        <v>1238</v>
      </c>
      <c r="U17" s="183" t="s">
        <v>1239</v>
      </c>
      <c r="V17" s="72"/>
      <c r="W17" s="35">
        <v>1</v>
      </c>
      <c r="X17" s="40"/>
      <c r="Y17" s="72" t="s">
        <v>1240</v>
      </c>
      <c r="Z17" s="35">
        <v>1</v>
      </c>
      <c r="AA17" s="40"/>
      <c r="AB17" s="209" t="s">
        <v>1241</v>
      </c>
      <c r="AC17" s="209" t="s">
        <v>533</v>
      </c>
      <c r="AD17" s="38"/>
      <c r="AE17" s="58" t="s">
        <v>1242</v>
      </c>
      <c r="AF17" s="147">
        <v>1</v>
      </c>
      <c r="AG17" s="38"/>
      <c r="AH17" s="45" t="s">
        <v>1243</v>
      </c>
      <c r="AI17" s="38"/>
      <c r="AJ17" s="38"/>
    </row>
    <row r="18" spans="1:36" s="87" customFormat="1" ht="409.6" thickBot="1" x14ac:dyDescent="0.3">
      <c r="A18" s="38"/>
      <c r="B18" s="38"/>
      <c r="C18" s="38"/>
      <c r="D18" s="38"/>
      <c r="E18" s="38"/>
      <c r="F18" s="38"/>
      <c r="G18" s="43" t="s">
        <v>1176</v>
      </c>
      <c r="H18" s="38"/>
      <c r="I18" s="38"/>
      <c r="J18" s="49" t="s">
        <v>1244</v>
      </c>
      <c r="K18" s="45" t="s">
        <v>1245</v>
      </c>
      <c r="L18" s="45" t="s">
        <v>1007</v>
      </c>
      <c r="M18" s="46">
        <v>1</v>
      </c>
      <c r="N18" s="51">
        <v>0.2</v>
      </c>
      <c r="O18" s="52">
        <v>0.2</v>
      </c>
      <c r="P18" s="53">
        <v>0.2</v>
      </c>
      <c r="Q18" s="54">
        <v>0.2</v>
      </c>
      <c r="R18" s="55">
        <v>0.2</v>
      </c>
      <c r="S18" s="183" t="s">
        <v>1246</v>
      </c>
      <c r="T18" s="183"/>
      <c r="U18" s="183" t="s">
        <v>1247</v>
      </c>
      <c r="V18" s="72" t="s">
        <v>1248</v>
      </c>
      <c r="W18" s="107">
        <v>1</v>
      </c>
      <c r="X18" s="72"/>
      <c r="Y18" s="72" t="s">
        <v>1249</v>
      </c>
      <c r="Z18" s="107">
        <v>1</v>
      </c>
      <c r="AA18" s="40"/>
      <c r="AB18" s="284" t="s">
        <v>1250</v>
      </c>
      <c r="AC18" s="209" t="s">
        <v>533</v>
      </c>
      <c r="AD18" s="38"/>
      <c r="AE18" s="90" t="s">
        <v>1251</v>
      </c>
      <c r="AF18" s="147">
        <v>1</v>
      </c>
      <c r="AG18" s="38"/>
      <c r="AH18" s="45" t="s">
        <v>1252</v>
      </c>
      <c r="AI18" s="38"/>
      <c r="AJ18" s="38"/>
    </row>
    <row r="19" spans="1:36" s="87" customFormat="1" ht="165.75" hidden="1" thickBot="1" x14ac:dyDescent="0.3">
      <c r="A19" s="38"/>
      <c r="B19" s="38"/>
      <c r="C19" s="64" t="s">
        <v>1253</v>
      </c>
      <c r="D19" s="170">
        <v>40909</v>
      </c>
      <c r="E19" s="170">
        <v>42705</v>
      </c>
      <c r="F19" s="64" t="s">
        <v>1254</v>
      </c>
      <c r="G19" s="43" t="s">
        <v>1176</v>
      </c>
      <c r="H19" s="45" t="s">
        <v>1255</v>
      </c>
      <c r="I19" s="45" t="s">
        <v>1256</v>
      </c>
      <c r="J19" s="49" t="s">
        <v>1257</v>
      </c>
      <c r="K19" s="45" t="s">
        <v>1258</v>
      </c>
      <c r="L19" s="45" t="s">
        <v>1259</v>
      </c>
      <c r="M19" s="46">
        <v>0.25</v>
      </c>
      <c r="N19" s="46">
        <v>1</v>
      </c>
      <c r="O19" s="285"/>
      <c r="P19" s="38"/>
      <c r="Q19" s="38"/>
      <c r="R19" s="38"/>
      <c r="S19" s="45" t="s">
        <v>812</v>
      </c>
      <c r="T19" s="38"/>
      <c r="U19" s="457" t="s">
        <v>1260</v>
      </c>
      <c r="V19" s="72"/>
      <c r="W19" s="107">
        <v>1</v>
      </c>
      <c r="X19" s="40"/>
      <c r="Y19" s="72" t="s">
        <v>1261</v>
      </c>
      <c r="Z19" s="107">
        <v>1</v>
      </c>
      <c r="AA19" s="40"/>
      <c r="AB19" s="38"/>
      <c r="AC19" s="38"/>
      <c r="AD19" s="38"/>
      <c r="AE19" s="38"/>
      <c r="AF19" s="147"/>
      <c r="AG19" s="38"/>
      <c r="AH19" s="38"/>
      <c r="AI19" s="38"/>
      <c r="AJ19" s="38"/>
    </row>
    <row r="20" spans="1:36" s="87" customFormat="1" ht="90.75" thickBot="1" x14ac:dyDescent="0.3">
      <c r="A20" s="38"/>
      <c r="B20" s="38"/>
      <c r="C20" s="38"/>
      <c r="D20" s="38"/>
      <c r="E20" s="38"/>
      <c r="F20" s="38"/>
      <c r="G20" s="43" t="s">
        <v>1176</v>
      </c>
      <c r="H20" s="45"/>
      <c r="I20" s="45"/>
      <c r="J20" s="45"/>
      <c r="K20" s="45" t="s">
        <v>1262</v>
      </c>
      <c r="L20" s="45" t="s">
        <v>1263</v>
      </c>
      <c r="M20" s="46">
        <v>0.75</v>
      </c>
      <c r="N20" s="286"/>
      <c r="O20" s="46">
        <v>0.25</v>
      </c>
      <c r="P20" s="53">
        <v>0.25</v>
      </c>
      <c r="Q20" s="54">
        <v>0.25</v>
      </c>
      <c r="R20" s="287">
        <v>0.25</v>
      </c>
      <c r="S20" s="45" t="s">
        <v>812</v>
      </c>
      <c r="T20" s="38"/>
      <c r="U20" s="457"/>
      <c r="V20" s="72"/>
      <c r="W20" s="35"/>
      <c r="X20" s="40"/>
      <c r="Y20" s="40"/>
      <c r="Z20" s="107">
        <v>1</v>
      </c>
      <c r="AA20" s="40"/>
      <c r="AB20" s="90" t="s">
        <v>1264</v>
      </c>
      <c r="AC20" s="209" t="s">
        <v>979</v>
      </c>
      <c r="AD20" s="153"/>
      <c r="AE20" s="90" t="s">
        <v>1264</v>
      </c>
      <c r="AF20" s="90" t="s">
        <v>1265</v>
      </c>
      <c r="AG20" s="38"/>
      <c r="AH20" s="38"/>
      <c r="AI20" s="38"/>
      <c r="AJ20" s="38"/>
    </row>
    <row r="21" spans="1:36" s="87" customFormat="1" ht="135" x14ac:dyDescent="0.25">
      <c r="A21" s="38"/>
      <c r="B21" s="38"/>
      <c r="C21" s="38"/>
      <c r="D21" s="38"/>
      <c r="E21" s="38"/>
      <c r="F21" s="38"/>
      <c r="G21" s="43" t="s">
        <v>1176</v>
      </c>
      <c r="H21" s="38"/>
      <c r="I21" s="38"/>
      <c r="J21" s="45" t="s">
        <v>1266</v>
      </c>
      <c r="K21" s="45" t="s">
        <v>1267</v>
      </c>
      <c r="L21" s="45" t="s">
        <v>1268</v>
      </c>
      <c r="M21" s="46">
        <v>0.25</v>
      </c>
      <c r="N21" s="51">
        <v>0.2</v>
      </c>
      <c r="O21" s="52">
        <v>0.2</v>
      </c>
      <c r="P21" s="53">
        <v>0.2</v>
      </c>
      <c r="Q21" s="54">
        <v>0.2</v>
      </c>
      <c r="R21" s="55">
        <v>0.2</v>
      </c>
      <c r="S21" s="457" t="s">
        <v>1269</v>
      </c>
      <c r="T21" s="457" t="s">
        <v>1270</v>
      </c>
      <c r="U21" s="457" t="s">
        <v>1271</v>
      </c>
      <c r="V21" s="72" t="s">
        <v>1272</v>
      </c>
      <c r="W21" s="35">
        <v>1</v>
      </c>
      <c r="X21" s="40"/>
      <c r="Y21" s="72" t="s">
        <v>1273</v>
      </c>
      <c r="Z21" s="107">
        <v>1</v>
      </c>
      <c r="AA21" s="40"/>
      <c r="AB21" s="58" t="s">
        <v>1274</v>
      </c>
      <c r="AC21" s="209" t="s">
        <v>533</v>
      </c>
      <c r="AD21" s="38"/>
      <c r="AE21" s="58" t="s">
        <v>1275</v>
      </c>
      <c r="AF21" s="147">
        <v>1</v>
      </c>
      <c r="AG21" s="38"/>
      <c r="AH21" s="38"/>
      <c r="AI21" s="38"/>
      <c r="AJ21" s="38"/>
    </row>
    <row r="22" spans="1:36" s="87" customFormat="1" ht="60" hidden="1" x14ac:dyDescent="0.25">
      <c r="A22" s="38"/>
      <c r="B22" s="38"/>
      <c r="C22" s="38"/>
      <c r="D22" s="38"/>
      <c r="E22" s="38"/>
      <c r="F22" s="38"/>
      <c r="G22" s="43" t="s">
        <v>1176</v>
      </c>
      <c r="H22" s="38"/>
      <c r="I22" s="38"/>
      <c r="J22" s="38"/>
      <c r="K22" s="45" t="s">
        <v>1276</v>
      </c>
      <c r="L22" s="45" t="s">
        <v>421</v>
      </c>
      <c r="M22" s="46">
        <v>0.25</v>
      </c>
      <c r="N22" s="46">
        <v>1</v>
      </c>
      <c r="O22" s="38"/>
      <c r="P22" s="38"/>
      <c r="Q22" s="38"/>
      <c r="R22" s="38"/>
      <c r="S22" s="478"/>
      <c r="T22" s="478"/>
      <c r="U22" s="478"/>
      <c r="V22" s="72"/>
      <c r="W22" s="288">
        <v>0</v>
      </c>
      <c r="X22" s="45" t="s">
        <v>1277</v>
      </c>
      <c r="Y22" s="40"/>
      <c r="Z22" s="40"/>
      <c r="AA22" s="40"/>
      <c r="AB22" s="45"/>
      <c r="AC22" s="38"/>
      <c r="AD22" s="38"/>
      <c r="AE22" s="38"/>
      <c r="AF22" s="147"/>
      <c r="AG22" s="38"/>
      <c r="AH22" s="38"/>
      <c r="AI22" s="38"/>
      <c r="AJ22" s="38"/>
    </row>
    <row r="23" spans="1:36" s="87" customFormat="1" ht="75" x14ac:dyDescent="0.25">
      <c r="H23" s="211"/>
      <c r="I23" s="211"/>
      <c r="J23" s="211"/>
      <c r="K23" s="157" t="s">
        <v>1278</v>
      </c>
      <c r="L23" s="157" t="s">
        <v>421</v>
      </c>
      <c r="M23" s="210">
        <v>0.5</v>
      </c>
      <c r="N23" s="211"/>
      <c r="O23" s="210">
        <v>0.25</v>
      </c>
      <c r="P23" s="210">
        <v>0.25</v>
      </c>
      <c r="Q23" s="210">
        <v>0.25</v>
      </c>
      <c r="R23" s="210">
        <v>0.25</v>
      </c>
      <c r="S23" s="513"/>
      <c r="T23" s="478"/>
      <c r="U23" s="478"/>
      <c r="V23" s="72"/>
      <c r="W23" s="35"/>
      <c r="X23" s="40"/>
      <c r="Y23" s="40"/>
      <c r="Z23" s="107">
        <v>0</v>
      </c>
      <c r="AA23" s="78" t="s">
        <v>1279</v>
      </c>
      <c r="AB23" s="48"/>
      <c r="AC23" s="38"/>
      <c r="AD23" s="153"/>
      <c r="AE23" s="153"/>
      <c r="AF23" s="289"/>
      <c r="AG23" s="157" t="s">
        <v>1280</v>
      </c>
      <c r="AH23" s="38"/>
      <c r="AI23" s="38"/>
      <c r="AJ23" s="38"/>
    </row>
    <row r="24" spans="1:36" s="87" customFormat="1" ht="105" hidden="1" x14ac:dyDescent="0.25">
      <c r="A24" s="381" t="s">
        <v>1172</v>
      </c>
      <c r="B24" s="384" t="s">
        <v>1281</v>
      </c>
      <c r="C24" s="45" t="s">
        <v>1282</v>
      </c>
      <c r="D24" s="144">
        <v>40909</v>
      </c>
      <c r="E24" s="144">
        <v>42339</v>
      </c>
      <c r="F24" s="45" t="s">
        <v>1283</v>
      </c>
      <c r="G24" s="62" t="s">
        <v>1176</v>
      </c>
      <c r="H24" s="64" t="s">
        <v>1284</v>
      </c>
      <c r="I24" s="38"/>
      <c r="J24" s="63" t="s">
        <v>1285</v>
      </c>
      <c r="K24" s="64" t="s">
        <v>1286</v>
      </c>
      <c r="L24" s="64" t="s">
        <v>1287</v>
      </c>
      <c r="M24" s="65">
        <v>0.3</v>
      </c>
      <c r="N24" s="83"/>
      <c r="O24" s="65">
        <v>1</v>
      </c>
      <c r="P24" s="83"/>
      <c r="Q24" s="83"/>
      <c r="R24" s="83"/>
      <c r="S24" s="64" t="s">
        <v>1283</v>
      </c>
      <c r="T24" s="64" t="s">
        <v>1288</v>
      </c>
      <c r="U24" s="64" t="s">
        <v>1289</v>
      </c>
      <c r="V24" s="72"/>
      <c r="W24" s="35"/>
      <c r="X24" s="40"/>
      <c r="Y24" s="213" t="s">
        <v>1290</v>
      </c>
      <c r="Z24" s="107">
        <v>0</v>
      </c>
      <c r="AA24" s="78" t="s">
        <v>1291</v>
      </c>
      <c r="AB24" s="38"/>
      <c r="AC24" s="65">
        <v>1</v>
      </c>
      <c r="AD24" s="213" t="s">
        <v>1292</v>
      </c>
      <c r="AE24" s="38"/>
      <c r="AF24" s="147"/>
      <c r="AG24" s="38"/>
      <c r="AH24" s="38"/>
      <c r="AI24" s="38"/>
      <c r="AJ24" s="38"/>
    </row>
    <row r="25" spans="1:36" s="87" customFormat="1" ht="90" x14ac:dyDescent="0.25">
      <c r="A25" s="402"/>
      <c r="B25" s="385"/>
      <c r="C25" s="45"/>
      <c r="D25" s="144"/>
      <c r="E25" s="144"/>
      <c r="F25" s="45"/>
      <c r="G25" s="62"/>
      <c r="H25" s="38"/>
      <c r="I25" s="38"/>
      <c r="J25" s="64"/>
      <c r="K25" s="64" t="s">
        <v>1293</v>
      </c>
      <c r="L25" s="64" t="s">
        <v>1287</v>
      </c>
      <c r="M25" s="65">
        <v>0.5</v>
      </c>
      <c r="N25" s="83"/>
      <c r="O25" s="65"/>
      <c r="P25" s="88">
        <v>0.33</v>
      </c>
      <c r="Q25" s="65">
        <v>0.33</v>
      </c>
      <c r="R25" s="65">
        <v>0.34</v>
      </c>
      <c r="S25" s="64" t="s">
        <v>1283</v>
      </c>
      <c r="T25" s="64" t="s">
        <v>1288</v>
      </c>
      <c r="U25" s="64" t="s">
        <v>1289</v>
      </c>
      <c r="V25" s="234"/>
      <c r="W25" s="35"/>
      <c r="X25" s="40"/>
      <c r="Y25" s="40"/>
      <c r="Z25" s="40"/>
      <c r="AA25" s="40"/>
      <c r="AB25" s="213" t="s">
        <v>1294</v>
      </c>
      <c r="AC25" s="213" t="s">
        <v>84</v>
      </c>
      <c r="AD25" s="213" t="s">
        <v>1295</v>
      </c>
      <c r="AE25" s="38"/>
      <c r="AF25" s="147">
        <v>1</v>
      </c>
      <c r="AG25" s="38"/>
      <c r="AH25" s="153"/>
      <c r="AI25" s="38"/>
      <c r="AJ25" s="38"/>
    </row>
    <row r="26" spans="1:36" s="87" customFormat="1" ht="165" hidden="1" x14ac:dyDescent="0.25">
      <c r="A26" s="385"/>
      <c r="B26" s="385"/>
      <c r="C26" s="45" t="s">
        <v>1296</v>
      </c>
      <c r="D26" s="81">
        <v>40909</v>
      </c>
      <c r="E26" s="81">
        <v>42339</v>
      </c>
      <c r="F26" s="45" t="s">
        <v>1283</v>
      </c>
      <c r="G26" s="62" t="s">
        <v>1176</v>
      </c>
      <c r="H26" s="38"/>
      <c r="I26" s="38"/>
      <c r="J26" s="64"/>
      <c r="K26" s="64" t="s">
        <v>1297</v>
      </c>
      <c r="L26" s="64" t="s">
        <v>1298</v>
      </c>
      <c r="M26" s="65">
        <v>0.1</v>
      </c>
      <c r="N26" s="83"/>
      <c r="O26" s="52">
        <v>1</v>
      </c>
      <c r="P26" s="83"/>
      <c r="Q26" s="83"/>
      <c r="R26" s="83"/>
      <c r="S26" s="64" t="s">
        <v>1283</v>
      </c>
      <c r="T26" s="64" t="s">
        <v>1288</v>
      </c>
      <c r="U26" s="64" t="s">
        <v>1289</v>
      </c>
      <c r="V26" s="72"/>
      <c r="W26" s="35"/>
      <c r="X26" s="40"/>
      <c r="Y26" s="213" t="s">
        <v>1299</v>
      </c>
      <c r="Z26" s="107">
        <v>0</v>
      </c>
      <c r="AA26" s="78" t="s">
        <v>1291</v>
      </c>
      <c r="AB26" s="38"/>
      <c r="AC26" s="65">
        <v>1</v>
      </c>
      <c r="AD26" s="213" t="s">
        <v>1292</v>
      </c>
      <c r="AE26" s="38"/>
      <c r="AF26" s="147"/>
      <c r="AG26" s="38"/>
      <c r="AH26" s="153"/>
      <c r="AI26" s="38"/>
      <c r="AJ26" s="38"/>
    </row>
    <row r="27" spans="1:36" s="87" customFormat="1" ht="135" x14ac:dyDescent="0.25">
      <c r="A27" s="386"/>
      <c r="B27" s="386"/>
      <c r="C27" s="45" t="s">
        <v>1300</v>
      </c>
      <c r="D27" s="81">
        <v>40909</v>
      </c>
      <c r="E27" s="81">
        <v>42339</v>
      </c>
      <c r="F27" s="157" t="s">
        <v>1283</v>
      </c>
      <c r="G27" s="62" t="s">
        <v>1176</v>
      </c>
      <c r="H27" s="211"/>
      <c r="I27" s="211"/>
      <c r="J27" s="64"/>
      <c r="K27" s="64" t="s">
        <v>1301</v>
      </c>
      <c r="L27" s="64" t="s">
        <v>903</v>
      </c>
      <c r="M27" s="65">
        <v>0.1</v>
      </c>
      <c r="N27" s="83"/>
      <c r="O27" s="83"/>
      <c r="P27" s="88">
        <v>0.33</v>
      </c>
      <c r="Q27" s="65">
        <v>0.33</v>
      </c>
      <c r="R27" s="65">
        <v>0.34</v>
      </c>
      <c r="S27" s="290" t="s">
        <v>1283</v>
      </c>
      <c r="T27" s="64" t="s">
        <v>1288</v>
      </c>
      <c r="U27" s="64" t="s">
        <v>1289</v>
      </c>
      <c r="V27" s="72"/>
      <c r="W27" s="35"/>
      <c r="X27" s="40"/>
      <c r="Y27" s="40"/>
      <c r="Z27" s="40"/>
      <c r="AA27" s="40"/>
      <c r="AB27" s="213" t="s">
        <v>1301</v>
      </c>
      <c r="AC27" s="213" t="s">
        <v>84</v>
      </c>
      <c r="AD27" s="38"/>
      <c r="AE27" s="38"/>
      <c r="AF27" s="147">
        <v>1</v>
      </c>
      <c r="AG27" s="38"/>
      <c r="AH27" s="153"/>
      <c r="AI27" s="38"/>
      <c r="AJ27" s="38"/>
    </row>
    <row r="28" spans="1:36" s="87" customFormat="1" ht="195" hidden="1" x14ac:dyDescent="0.25">
      <c r="A28" s="381" t="s">
        <v>1172</v>
      </c>
      <c r="B28" s="384" t="s">
        <v>1302</v>
      </c>
      <c r="C28" s="45" t="s">
        <v>1303</v>
      </c>
      <c r="D28" s="81">
        <v>40909</v>
      </c>
      <c r="E28" s="81">
        <v>44896</v>
      </c>
      <c r="F28" s="45" t="s">
        <v>1304</v>
      </c>
      <c r="G28" s="62" t="s">
        <v>1176</v>
      </c>
      <c r="H28" s="64" t="s">
        <v>1305</v>
      </c>
      <c r="I28" s="38"/>
      <c r="J28" s="63" t="s">
        <v>1306</v>
      </c>
      <c r="K28" s="64" t="s">
        <v>1307</v>
      </c>
      <c r="L28" s="64" t="s">
        <v>161</v>
      </c>
      <c r="M28" s="65">
        <v>0.3</v>
      </c>
      <c r="N28" s="83"/>
      <c r="O28" s="52">
        <v>1</v>
      </c>
      <c r="P28" s="83"/>
      <c r="Q28" s="83"/>
      <c r="R28" s="83"/>
      <c r="S28" s="64" t="s">
        <v>1304</v>
      </c>
      <c r="T28" s="64" t="s">
        <v>1308</v>
      </c>
      <c r="U28" s="64" t="s">
        <v>1289</v>
      </c>
      <c r="V28" s="72"/>
      <c r="W28" s="35"/>
      <c r="X28" s="40"/>
      <c r="Y28" s="213" t="s">
        <v>1309</v>
      </c>
      <c r="Z28" s="107">
        <v>1</v>
      </c>
      <c r="AA28" s="40"/>
      <c r="AB28" s="38"/>
      <c r="AC28" s="38"/>
      <c r="AD28" s="38"/>
      <c r="AE28" s="38"/>
      <c r="AF28" s="147"/>
      <c r="AG28" s="38"/>
      <c r="AH28" s="38"/>
      <c r="AI28" s="38"/>
      <c r="AJ28" s="38"/>
    </row>
    <row r="29" spans="1:36" s="87" customFormat="1" ht="105" hidden="1" x14ac:dyDescent="0.25">
      <c r="A29" s="402"/>
      <c r="B29" s="385"/>
      <c r="C29" s="45"/>
      <c r="D29" s="81"/>
      <c r="E29" s="81"/>
      <c r="F29" s="45"/>
      <c r="G29" s="62" t="s">
        <v>1176</v>
      </c>
      <c r="H29" s="38"/>
      <c r="I29" s="38"/>
      <c r="J29" s="64"/>
      <c r="K29" s="64" t="s">
        <v>1310</v>
      </c>
      <c r="L29" s="64" t="s">
        <v>108</v>
      </c>
      <c r="M29" s="65">
        <v>0.5</v>
      </c>
      <c r="N29" s="83"/>
      <c r="O29" s="65"/>
      <c r="P29" s="88"/>
      <c r="Q29" s="89"/>
      <c r="R29" s="65"/>
      <c r="S29" s="64" t="s">
        <v>1304</v>
      </c>
      <c r="T29" s="64" t="s">
        <v>1308</v>
      </c>
      <c r="U29" s="64" t="s">
        <v>1289</v>
      </c>
      <c r="V29" s="72"/>
      <c r="W29" s="35"/>
      <c r="X29" s="40"/>
      <c r="Y29" s="40"/>
      <c r="Z29" s="40"/>
      <c r="AA29" s="40"/>
      <c r="AB29" s="93" t="s">
        <v>1311</v>
      </c>
      <c r="AC29" s="38"/>
      <c r="AD29" s="38"/>
      <c r="AE29" s="90" t="s">
        <v>1312</v>
      </c>
      <c r="AF29" s="147"/>
      <c r="AG29" s="38"/>
      <c r="AH29" s="38"/>
      <c r="AI29" s="38"/>
      <c r="AJ29" s="38"/>
    </row>
    <row r="30" spans="1:36" s="87" customFormat="1" ht="135" x14ac:dyDescent="0.25">
      <c r="A30" s="402"/>
      <c r="B30" s="385"/>
      <c r="C30" s="45" t="s">
        <v>1313</v>
      </c>
      <c r="D30" s="81">
        <v>40909</v>
      </c>
      <c r="E30" s="81">
        <v>44896</v>
      </c>
      <c r="F30" s="45" t="s">
        <v>1304</v>
      </c>
      <c r="G30" s="62" t="s">
        <v>1176</v>
      </c>
      <c r="H30" s="38"/>
      <c r="I30" s="38"/>
      <c r="J30" s="64"/>
      <c r="K30" s="64" t="s">
        <v>1314</v>
      </c>
      <c r="L30" s="64" t="s">
        <v>1315</v>
      </c>
      <c r="M30" s="65">
        <v>0.1</v>
      </c>
      <c r="N30" s="83"/>
      <c r="O30" s="65"/>
      <c r="P30" s="65"/>
      <c r="Q30" s="89">
        <v>1</v>
      </c>
      <c r="R30" s="65"/>
      <c r="S30" s="64" t="s">
        <v>1304</v>
      </c>
      <c r="T30" s="64" t="s">
        <v>1308</v>
      </c>
      <c r="U30" s="64" t="s">
        <v>1289</v>
      </c>
      <c r="V30" s="72"/>
      <c r="W30" s="35"/>
      <c r="X30" s="40"/>
      <c r="Y30" s="213" t="s">
        <v>1316</v>
      </c>
      <c r="Z30" s="213" t="s">
        <v>1317</v>
      </c>
      <c r="AA30" s="40"/>
      <c r="AB30" s="291" t="s">
        <v>1318</v>
      </c>
      <c r="AC30" s="38"/>
      <c r="AD30" s="38"/>
      <c r="AE30" s="157" t="s">
        <v>1319</v>
      </c>
      <c r="AF30" s="147">
        <v>1</v>
      </c>
      <c r="AG30" s="38"/>
      <c r="AH30" s="38"/>
      <c r="AI30" s="38"/>
      <c r="AJ30" s="38"/>
    </row>
    <row r="31" spans="1:36" s="87" customFormat="1" ht="180" hidden="1" x14ac:dyDescent="0.25">
      <c r="A31" s="402"/>
      <c r="B31" s="385"/>
      <c r="C31" s="45" t="s">
        <v>1320</v>
      </c>
      <c r="D31" s="81">
        <v>40909</v>
      </c>
      <c r="E31" s="81">
        <v>44896</v>
      </c>
      <c r="F31" s="45" t="s">
        <v>1304</v>
      </c>
      <c r="G31" s="62" t="s">
        <v>1176</v>
      </c>
      <c r="H31" s="38"/>
      <c r="I31" s="38"/>
      <c r="J31" s="64"/>
      <c r="K31" s="64" t="s">
        <v>1321</v>
      </c>
      <c r="L31" s="64" t="s">
        <v>1322</v>
      </c>
      <c r="M31" s="65">
        <v>0.1</v>
      </c>
      <c r="N31" s="65">
        <v>0.2</v>
      </c>
      <c r="O31" s="65"/>
      <c r="P31" s="65"/>
      <c r="Q31" s="65"/>
      <c r="R31" s="65"/>
      <c r="S31" s="64" t="s">
        <v>1304</v>
      </c>
      <c r="T31" s="64" t="s">
        <v>1308</v>
      </c>
      <c r="U31" s="64" t="s">
        <v>1289</v>
      </c>
      <c r="V31" s="292"/>
      <c r="W31" s="35">
        <v>1</v>
      </c>
      <c r="X31" s="40"/>
      <c r="Y31" s="213" t="s">
        <v>1323</v>
      </c>
      <c r="Z31" s="213" t="s">
        <v>1324</v>
      </c>
      <c r="AA31" s="40"/>
      <c r="AB31" s="291" t="s">
        <v>1325</v>
      </c>
      <c r="AC31" s="38"/>
      <c r="AD31" s="38"/>
      <c r="AE31" s="38"/>
      <c r="AF31" s="147"/>
      <c r="AG31" s="38"/>
      <c r="AH31" s="38"/>
      <c r="AI31" s="38"/>
      <c r="AJ31" s="38"/>
    </row>
    <row r="32" spans="1:36" s="87" customFormat="1" ht="285" hidden="1" x14ac:dyDescent="0.25">
      <c r="A32" s="385"/>
      <c r="B32" s="385"/>
      <c r="C32" s="384" t="s">
        <v>1326</v>
      </c>
      <c r="D32" s="81">
        <v>40909</v>
      </c>
      <c r="E32" s="81">
        <v>44896</v>
      </c>
      <c r="F32" s="45" t="s">
        <v>1304</v>
      </c>
      <c r="G32" s="62" t="s">
        <v>1176</v>
      </c>
      <c r="H32" s="38"/>
      <c r="I32" s="38"/>
      <c r="J32" s="63" t="s">
        <v>1327</v>
      </c>
      <c r="K32" s="293" t="s">
        <v>1328</v>
      </c>
      <c r="L32" s="64" t="s">
        <v>1329</v>
      </c>
      <c r="M32" s="65">
        <v>0.4</v>
      </c>
      <c r="N32" s="83"/>
      <c r="O32" s="91"/>
      <c r="P32" s="83"/>
      <c r="Q32" s="83"/>
      <c r="R32" s="65"/>
      <c r="S32" s="64" t="s">
        <v>1304</v>
      </c>
      <c r="T32" s="64" t="s">
        <v>1308</v>
      </c>
      <c r="U32" s="64" t="s">
        <v>1289</v>
      </c>
      <c r="V32" s="38"/>
      <c r="W32" s="46"/>
      <c r="X32" s="38"/>
      <c r="Y32" s="213" t="s">
        <v>1330</v>
      </c>
      <c r="Z32" s="213" t="s">
        <v>1317</v>
      </c>
      <c r="AA32" s="38"/>
      <c r="AB32" s="38"/>
      <c r="AC32" s="38"/>
      <c r="AD32" s="38"/>
      <c r="AE32" s="38"/>
      <c r="AF32" s="147"/>
      <c r="AG32" s="38"/>
      <c r="AH32" s="38"/>
      <c r="AI32" s="38"/>
      <c r="AJ32" s="38"/>
    </row>
    <row r="33" spans="1:36" s="87" customFormat="1" ht="105" hidden="1" x14ac:dyDescent="0.25">
      <c r="A33" s="385"/>
      <c r="B33" s="385"/>
      <c r="C33" s="389"/>
      <c r="D33" s="81"/>
      <c r="E33" s="81"/>
      <c r="F33" s="45"/>
      <c r="G33" s="62" t="s">
        <v>1176</v>
      </c>
      <c r="H33" s="38"/>
      <c r="I33" s="38"/>
      <c r="J33" s="64"/>
      <c r="K33" s="64" t="s">
        <v>1331</v>
      </c>
      <c r="L33" s="64" t="s">
        <v>1332</v>
      </c>
      <c r="M33" s="65">
        <v>0.6</v>
      </c>
      <c r="N33" s="83"/>
      <c r="O33" s="65"/>
      <c r="P33" s="65"/>
      <c r="Q33" s="65"/>
      <c r="R33" s="65"/>
      <c r="S33" s="64" t="s">
        <v>1304</v>
      </c>
      <c r="T33" s="64" t="s">
        <v>1308</v>
      </c>
      <c r="U33" s="64" t="s">
        <v>1289</v>
      </c>
      <c r="V33" s="38"/>
      <c r="W33" s="46"/>
      <c r="X33" s="38"/>
      <c r="Y33" s="38"/>
      <c r="Z33" s="38"/>
      <c r="AA33" s="38"/>
      <c r="AB33" s="291" t="s">
        <v>1325</v>
      </c>
      <c r="AC33" s="38"/>
      <c r="AD33" s="38"/>
      <c r="AE33" s="38"/>
      <c r="AF33" s="147"/>
      <c r="AG33" s="38"/>
      <c r="AH33" s="38"/>
      <c r="AI33" s="38"/>
      <c r="AJ33" s="38"/>
    </row>
    <row r="34" spans="1:36" s="87" customFormat="1" ht="135" hidden="1" x14ac:dyDescent="0.25">
      <c r="A34" s="43" t="s">
        <v>1172</v>
      </c>
      <c r="B34" s="45" t="s">
        <v>1333</v>
      </c>
      <c r="C34" s="45" t="s">
        <v>1334</v>
      </c>
      <c r="D34" s="81">
        <v>40909</v>
      </c>
      <c r="E34" s="81">
        <v>44896</v>
      </c>
      <c r="F34" s="45" t="s">
        <v>1335</v>
      </c>
      <c r="G34" s="62" t="s">
        <v>1176</v>
      </c>
      <c r="H34" s="64" t="s">
        <v>1336</v>
      </c>
      <c r="I34" s="38"/>
      <c r="J34" s="63" t="s">
        <v>1337</v>
      </c>
      <c r="K34" s="64" t="s">
        <v>1338</v>
      </c>
      <c r="L34" s="64" t="s">
        <v>101</v>
      </c>
      <c r="M34" s="65">
        <v>1</v>
      </c>
      <c r="N34" s="83"/>
      <c r="O34" s="83"/>
      <c r="P34" s="83"/>
      <c r="Q34" s="83"/>
      <c r="R34" s="65">
        <v>1</v>
      </c>
      <c r="S34" s="64" t="s">
        <v>1335</v>
      </c>
      <c r="T34" s="64" t="s">
        <v>1308</v>
      </c>
      <c r="U34" s="64" t="s">
        <v>1289</v>
      </c>
      <c r="V34" s="38"/>
      <c r="W34" s="46"/>
      <c r="X34" s="38"/>
      <c r="Y34" s="38"/>
      <c r="Z34" s="38"/>
      <c r="AA34" s="38"/>
      <c r="AB34" s="38"/>
      <c r="AC34" s="38"/>
      <c r="AD34" s="38"/>
      <c r="AE34" s="38"/>
      <c r="AF34" s="147"/>
      <c r="AG34" s="38"/>
      <c r="AH34" s="153"/>
      <c r="AI34" s="38"/>
      <c r="AJ34" s="38"/>
    </row>
  </sheetData>
  <protectedRanges>
    <protectedRange sqref="Y17:Y18" name="Rango1_4_3"/>
    <protectedRange sqref="Y9" name="Rango1_4_1_1"/>
    <protectedRange sqref="Y10" name="Rango1_4_2_1"/>
    <protectedRange sqref="AB17" name="Rango1_4"/>
    <protectedRange sqref="AB18" name="Rango1_4_1"/>
    <protectedRange sqref="Y28" name="Rango1_4_2"/>
    <protectedRange sqref="Y30" name="Rango1_4_4"/>
    <protectedRange sqref="AB12" name="Rango1_4_5"/>
    <protectedRange sqref="AB29" name="Rango1_4_6"/>
    <protectedRange sqref="AB20" name="Rango1_4_7"/>
    <protectedRange sqref="AE17" name="Rango1_4_8"/>
    <protectedRange sqref="AE18" name="Rango1_4_9"/>
  </protectedRanges>
  <mergeCells count="56">
    <mergeCell ref="AH5:AJ5"/>
    <mergeCell ref="H1:T1"/>
    <mergeCell ref="V5:X5"/>
    <mergeCell ref="Y5:AA5"/>
    <mergeCell ref="AB5:AD5"/>
    <mergeCell ref="AE5:AG5"/>
    <mergeCell ref="AH6:AJ6"/>
    <mergeCell ref="A7:A8"/>
    <mergeCell ref="B7:B8"/>
    <mergeCell ref="C7:C8"/>
    <mergeCell ref="D7:E7"/>
    <mergeCell ref="F7:F8"/>
    <mergeCell ref="G7:G8"/>
    <mergeCell ref="H7:H8"/>
    <mergeCell ref="I7:I8"/>
    <mergeCell ref="J7:J8"/>
    <mergeCell ref="A6:F6"/>
    <mergeCell ref="G6:U6"/>
    <mergeCell ref="V6:X6"/>
    <mergeCell ref="Y6:AA6"/>
    <mergeCell ref="AB6:AD6"/>
    <mergeCell ref="AE6:AG6"/>
    <mergeCell ref="K7:K8"/>
    <mergeCell ref="L7:L8"/>
    <mergeCell ref="M7:M8"/>
    <mergeCell ref="N7:R7"/>
    <mergeCell ref="S7:S8"/>
    <mergeCell ref="U13:U14"/>
    <mergeCell ref="AB7:AB8"/>
    <mergeCell ref="AC7:AC8"/>
    <mergeCell ref="AD7:AD8"/>
    <mergeCell ref="AE7:AE8"/>
    <mergeCell ref="U7:U8"/>
    <mergeCell ref="W7:W8"/>
    <mergeCell ref="X7:X8"/>
    <mergeCell ref="Y7:Y8"/>
    <mergeCell ref="Z7:Z8"/>
    <mergeCell ref="AA7:AA8"/>
    <mergeCell ref="AH7:AH8"/>
    <mergeCell ref="AI7:AI8"/>
    <mergeCell ref="AJ7:AJ8"/>
    <mergeCell ref="S11:S12"/>
    <mergeCell ref="T11:T12"/>
    <mergeCell ref="AF7:AF8"/>
    <mergeCell ref="AG7:AG8"/>
    <mergeCell ref="T7:T8"/>
    <mergeCell ref="A28:A33"/>
    <mergeCell ref="B28:B33"/>
    <mergeCell ref="C32:C33"/>
    <mergeCell ref="S15:S16"/>
    <mergeCell ref="U19:U20"/>
    <mergeCell ref="S21:S23"/>
    <mergeCell ref="T21:T23"/>
    <mergeCell ref="U21:U23"/>
    <mergeCell ref="A24:A27"/>
    <mergeCell ref="B24:B27"/>
  </mergeCells>
  <printOptions horizontalCentered="1" verticalCentered="1"/>
  <pageMargins left="0.70866141732283472" right="0.70866141732283472" top="0.74803149606299213" bottom="0.74803149606299213" header="0.31496062992125984" footer="0.31496062992125984"/>
  <pageSetup paperSize="9" scale="55"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92"/>
  <sheetViews>
    <sheetView topLeftCell="G2" zoomScale="59" zoomScaleNormal="59" workbookViewId="0">
      <selection activeCell="AE11" sqref="AE11"/>
    </sheetView>
  </sheetViews>
  <sheetFormatPr baseColWidth="10" defaultRowHeight="15" x14ac:dyDescent="0.25"/>
  <cols>
    <col min="1" max="1" width="20.28515625" hidden="1" customWidth="1"/>
    <col min="2" max="3" width="23.140625" hidden="1" customWidth="1"/>
    <col min="4" max="4" width="10.5703125" hidden="1" customWidth="1"/>
    <col min="5" max="5" width="9" hidden="1" customWidth="1"/>
    <col min="6" max="6" width="18.7109375" hidden="1" customWidth="1"/>
    <col min="7" max="7" width="14" customWidth="1"/>
    <col min="8" max="8" width="17.42578125" customWidth="1"/>
    <col min="9" max="9" width="18" customWidth="1"/>
    <col min="10" max="10" width="21.7109375" customWidth="1"/>
    <col min="11" max="11" width="26.42578125" customWidth="1"/>
    <col min="12" max="12" width="12.28515625" customWidth="1"/>
    <col min="13" max="13" width="7.140625" hidden="1" customWidth="1"/>
    <col min="14" max="14" width="8.42578125" hidden="1" customWidth="1"/>
    <col min="15" max="15" width="8.140625" hidden="1" customWidth="1"/>
    <col min="16" max="16" width="6.85546875" hidden="1" customWidth="1"/>
    <col min="17" max="17" width="9.140625" customWidth="1"/>
    <col min="18" max="18" width="6.28515625" hidden="1" customWidth="1"/>
    <col min="19" max="22" width="16.42578125" hidden="1" customWidth="1"/>
    <col min="23" max="23" width="14.7109375" hidden="1" customWidth="1"/>
    <col min="24" max="24" width="17.140625" hidden="1" customWidth="1"/>
    <col min="25" max="25" width="18" hidden="1" customWidth="1"/>
    <col min="26" max="26" width="17.140625" hidden="1" customWidth="1"/>
    <col min="27" max="27" width="16.7109375" hidden="1" customWidth="1"/>
    <col min="28" max="28" width="17.140625" hidden="1" customWidth="1"/>
    <col min="29" max="29" width="15.5703125" hidden="1" customWidth="1"/>
    <col min="30" max="30" width="14.7109375" hidden="1" customWidth="1"/>
    <col min="31" max="31" width="28.42578125" customWidth="1"/>
    <col min="32" max="32" width="17.5703125" customWidth="1"/>
    <col min="33" max="33" width="45.28515625" customWidth="1"/>
    <col min="34" max="34" width="34.28515625" hidden="1" customWidth="1"/>
    <col min="35" max="35" width="18.140625" hidden="1" customWidth="1"/>
    <col min="36" max="36" width="22.5703125" hidden="1" customWidth="1"/>
  </cols>
  <sheetData>
    <row r="1" spans="1:36" ht="23.25" x14ac:dyDescent="0.35">
      <c r="I1" s="4" t="s">
        <v>1</v>
      </c>
      <c r="V1" s="1"/>
      <c r="W1" t="s">
        <v>0</v>
      </c>
    </row>
    <row r="2" spans="1:36" ht="23.25" x14ac:dyDescent="0.35">
      <c r="A2" s="4" t="s">
        <v>1</v>
      </c>
      <c r="B2" s="227"/>
      <c r="C2" s="227"/>
      <c r="D2" s="227"/>
      <c r="E2" s="227"/>
      <c r="F2" s="227"/>
      <c r="G2" s="227"/>
      <c r="H2" s="227"/>
      <c r="I2" s="4" t="s">
        <v>4</v>
      </c>
      <c r="J2" s="227"/>
      <c r="K2" s="227"/>
      <c r="L2" s="227"/>
      <c r="M2" s="227"/>
      <c r="N2" s="227"/>
      <c r="O2" s="227"/>
      <c r="P2" s="227"/>
      <c r="Q2" s="227"/>
      <c r="R2" s="227"/>
      <c r="S2" s="227"/>
      <c r="T2" s="227"/>
      <c r="U2" s="228"/>
      <c r="V2" s="5"/>
      <c r="W2" t="s">
        <v>2</v>
      </c>
      <c r="AB2" s="6"/>
      <c r="AC2" t="s">
        <v>3</v>
      </c>
    </row>
    <row r="3" spans="1:36" ht="23.25" x14ac:dyDescent="0.35">
      <c r="A3" s="4" t="s">
        <v>4</v>
      </c>
      <c r="B3" s="227"/>
      <c r="C3" s="227"/>
      <c r="D3" s="227"/>
      <c r="E3" s="227"/>
      <c r="F3" s="227"/>
      <c r="G3" s="227"/>
      <c r="H3" s="227"/>
      <c r="I3" s="4" t="s">
        <v>7</v>
      </c>
      <c r="J3" s="227"/>
      <c r="K3" s="227"/>
      <c r="L3" s="227"/>
      <c r="M3" s="227"/>
      <c r="N3" s="227"/>
      <c r="O3" s="227"/>
      <c r="P3" s="227"/>
      <c r="Q3" s="227"/>
      <c r="R3" s="227"/>
      <c r="S3" s="227"/>
      <c r="T3" s="227"/>
      <c r="U3" s="228"/>
      <c r="V3" s="7"/>
      <c r="W3" t="s">
        <v>5</v>
      </c>
      <c r="AB3" s="8"/>
      <c r="AC3" t="s">
        <v>6</v>
      </c>
    </row>
    <row r="4" spans="1:36" ht="23.25" x14ac:dyDescent="0.35">
      <c r="A4" s="4" t="s">
        <v>7</v>
      </c>
      <c r="B4" s="227"/>
      <c r="C4" s="227"/>
      <c r="D4" s="227"/>
      <c r="E4" s="227"/>
      <c r="F4" s="227"/>
      <c r="G4" s="227"/>
      <c r="H4" s="227"/>
      <c r="I4" s="4" t="s">
        <v>2229</v>
      </c>
      <c r="J4" s="227"/>
      <c r="K4" s="227"/>
      <c r="L4" s="227"/>
      <c r="M4" s="227"/>
      <c r="N4" s="227"/>
      <c r="O4" s="227"/>
      <c r="P4" s="227"/>
      <c r="Q4" s="227"/>
      <c r="R4" s="227"/>
      <c r="S4" s="227"/>
      <c r="T4" s="227"/>
      <c r="U4" s="228"/>
      <c r="V4" s="9"/>
      <c r="W4" t="s">
        <v>8</v>
      </c>
      <c r="AB4" s="10"/>
      <c r="AC4" t="s">
        <v>9</v>
      </c>
    </row>
    <row r="5" spans="1:36" ht="23.25" x14ac:dyDescent="0.35">
      <c r="A5" s="4" t="s">
        <v>1339</v>
      </c>
      <c r="B5" s="11"/>
      <c r="C5" s="11"/>
      <c r="D5" s="11"/>
      <c r="E5" s="11"/>
      <c r="F5" s="11"/>
      <c r="G5" s="11"/>
      <c r="H5" s="11"/>
      <c r="I5" s="4" t="s">
        <v>2224</v>
      </c>
      <c r="J5" s="11"/>
      <c r="K5" s="11"/>
      <c r="L5" s="11"/>
      <c r="M5" s="11"/>
      <c r="N5" s="11"/>
      <c r="O5" s="11"/>
      <c r="P5" s="11"/>
      <c r="Q5" s="11"/>
      <c r="R5" s="11"/>
      <c r="S5" s="11"/>
      <c r="T5" s="11"/>
      <c r="U5" s="11"/>
      <c r="V5" s="261"/>
    </row>
    <row r="6" spans="1:36" ht="43.5" customHeight="1" x14ac:dyDescent="0.35">
      <c r="H6" s="511" t="s">
        <v>1339</v>
      </c>
      <c r="I6" s="511"/>
      <c r="J6" s="511"/>
      <c r="K6" s="511"/>
      <c r="L6" s="511"/>
      <c r="M6" s="511"/>
      <c r="N6" s="511"/>
      <c r="O6" s="511"/>
      <c r="P6" s="511"/>
      <c r="Q6" s="511"/>
      <c r="R6" s="511"/>
      <c r="S6" s="511"/>
      <c r="T6" s="511"/>
      <c r="V6" s="525" t="s">
        <v>13</v>
      </c>
      <c r="W6" s="473"/>
      <c r="X6" s="473"/>
      <c r="Y6" s="453" t="s">
        <v>13</v>
      </c>
      <c r="Z6" s="453"/>
      <c r="AA6" s="453"/>
      <c r="AB6" s="453" t="s">
        <v>13</v>
      </c>
      <c r="AC6" s="453"/>
      <c r="AD6" s="453"/>
      <c r="AE6" s="471" t="s">
        <v>13</v>
      </c>
      <c r="AF6" s="471"/>
      <c r="AG6" s="471"/>
      <c r="AH6" s="454" t="s">
        <v>13</v>
      </c>
      <c r="AI6" s="455"/>
      <c r="AJ6" s="456"/>
    </row>
    <row r="7" spans="1:36" ht="45" customHeight="1" x14ac:dyDescent="0.25">
      <c r="A7" s="472" t="s">
        <v>14</v>
      </c>
      <c r="B7" s="472"/>
      <c r="C7" s="472"/>
      <c r="D7" s="472"/>
      <c r="E7" s="472"/>
      <c r="F7" s="472"/>
      <c r="G7" s="435" t="s">
        <v>304</v>
      </c>
      <c r="H7" s="436"/>
      <c r="I7" s="436"/>
      <c r="J7" s="436"/>
      <c r="K7" s="436"/>
      <c r="L7" s="436"/>
      <c r="M7" s="436"/>
      <c r="N7" s="436"/>
      <c r="O7" s="436"/>
      <c r="P7" s="436"/>
      <c r="Q7" s="436"/>
      <c r="R7" s="436"/>
      <c r="S7" s="436"/>
      <c r="T7" s="436"/>
      <c r="U7" s="436"/>
      <c r="V7" s="435" t="s">
        <v>16</v>
      </c>
      <c r="W7" s="436"/>
      <c r="X7" s="437"/>
      <c r="Y7" s="438" t="s">
        <v>17</v>
      </c>
      <c r="Z7" s="439"/>
      <c r="AA7" s="440"/>
      <c r="AB7" s="441" t="s">
        <v>18</v>
      </c>
      <c r="AC7" s="442"/>
      <c r="AD7" s="443"/>
      <c r="AE7" s="444" t="s">
        <v>19</v>
      </c>
      <c r="AF7" s="445"/>
      <c r="AG7" s="446"/>
      <c r="AH7" s="424" t="s">
        <v>20</v>
      </c>
      <c r="AI7" s="425"/>
      <c r="AJ7" s="426"/>
    </row>
    <row r="8" spans="1:36" ht="15" customHeight="1" x14ac:dyDescent="0.25">
      <c r="A8" s="429" t="s">
        <v>21</v>
      </c>
      <c r="B8" s="465" t="s">
        <v>22</v>
      </c>
      <c r="C8" s="465" t="s">
        <v>23</v>
      </c>
      <c r="D8" s="467" t="s">
        <v>24</v>
      </c>
      <c r="E8" s="468"/>
      <c r="F8" s="465" t="s">
        <v>25</v>
      </c>
      <c r="G8" s="430" t="s">
        <v>26</v>
      </c>
      <c r="H8" s="430" t="s">
        <v>22</v>
      </c>
      <c r="I8" s="430" t="s">
        <v>27</v>
      </c>
      <c r="J8" s="430" t="s">
        <v>28</v>
      </c>
      <c r="K8" s="430" t="s">
        <v>29</v>
      </c>
      <c r="L8" s="431" t="s">
        <v>23</v>
      </c>
      <c r="M8" s="462" t="s">
        <v>30</v>
      </c>
      <c r="N8" s="514" t="s">
        <v>24</v>
      </c>
      <c r="O8" s="515"/>
      <c r="P8" s="515"/>
      <c r="Q8" s="515"/>
      <c r="R8" s="516"/>
      <c r="S8" s="462" t="s">
        <v>25</v>
      </c>
      <c r="T8" s="462" t="s">
        <v>31</v>
      </c>
      <c r="U8" s="462" t="s">
        <v>1171</v>
      </c>
      <c r="V8" s="416" t="s">
        <v>33</v>
      </c>
      <c r="W8" s="416" t="s">
        <v>34</v>
      </c>
      <c r="X8" s="416" t="s">
        <v>35</v>
      </c>
      <c r="Y8" s="418" t="s">
        <v>36</v>
      </c>
      <c r="Z8" s="418" t="s">
        <v>37</v>
      </c>
      <c r="AA8" s="418" t="s">
        <v>38</v>
      </c>
      <c r="AB8" s="410" t="s">
        <v>39</v>
      </c>
      <c r="AC8" s="410" t="s">
        <v>40</v>
      </c>
      <c r="AD8" s="410" t="s">
        <v>41</v>
      </c>
      <c r="AE8" s="412" t="s">
        <v>42</v>
      </c>
      <c r="AF8" s="412" t="s">
        <v>43</v>
      </c>
      <c r="AG8" s="412" t="s">
        <v>44</v>
      </c>
      <c r="AH8" s="502" t="s">
        <v>45</v>
      </c>
      <c r="AI8" s="500" t="s">
        <v>46</v>
      </c>
      <c r="AJ8" s="502" t="s">
        <v>47</v>
      </c>
    </row>
    <row r="9" spans="1:36" ht="53.25" customHeight="1" x14ac:dyDescent="0.25">
      <c r="A9" s="464"/>
      <c r="B9" s="466"/>
      <c r="C9" s="466"/>
      <c r="D9" s="166" t="s">
        <v>48</v>
      </c>
      <c r="E9" s="166" t="s">
        <v>49</v>
      </c>
      <c r="F9" s="466"/>
      <c r="G9" s="430"/>
      <c r="H9" s="430"/>
      <c r="I9" s="430" t="s">
        <v>27</v>
      </c>
      <c r="J9" s="430"/>
      <c r="K9" s="430"/>
      <c r="L9" s="507"/>
      <c r="M9" s="463"/>
      <c r="N9" s="127">
        <v>2012</v>
      </c>
      <c r="O9" s="127">
        <v>2013</v>
      </c>
      <c r="P9" s="127">
        <v>2014</v>
      </c>
      <c r="Q9" s="127">
        <v>2015</v>
      </c>
      <c r="R9" s="127">
        <v>2016</v>
      </c>
      <c r="S9" s="463" t="s">
        <v>25</v>
      </c>
      <c r="T9" s="463"/>
      <c r="U9" s="463"/>
      <c r="V9" s="417"/>
      <c r="W9" s="506"/>
      <c r="X9" s="506"/>
      <c r="Y9" s="417"/>
      <c r="Z9" s="417" t="s">
        <v>33</v>
      </c>
      <c r="AA9" s="417" t="s">
        <v>33</v>
      </c>
      <c r="AB9" s="411"/>
      <c r="AC9" s="411" t="s">
        <v>33</v>
      </c>
      <c r="AD9" s="411" t="s">
        <v>33</v>
      </c>
      <c r="AE9" s="458"/>
      <c r="AF9" s="458" t="s">
        <v>33</v>
      </c>
      <c r="AG9" s="458" t="s">
        <v>33</v>
      </c>
      <c r="AH9" s="503"/>
      <c r="AI9" s="501"/>
      <c r="AJ9" s="503"/>
    </row>
    <row r="10" spans="1:36" s="87" customFormat="1" ht="156" hidden="1" customHeight="1" x14ac:dyDescent="0.25">
      <c r="A10" s="475" t="s">
        <v>1340</v>
      </c>
      <c r="B10" s="64" t="s">
        <v>1341</v>
      </c>
      <c r="C10" s="64" t="s">
        <v>1342</v>
      </c>
      <c r="D10" s="170">
        <v>40909</v>
      </c>
      <c r="E10" s="170">
        <v>42705</v>
      </c>
      <c r="F10" s="64" t="s">
        <v>1343</v>
      </c>
      <c r="G10" s="43" t="s">
        <v>1344</v>
      </c>
      <c r="H10" s="45" t="s">
        <v>1345</v>
      </c>
      <c r="I10" s="45" t="s">
        <v>1346</v>
      </c>
      <c r="J10" s="393" t="s">
        <v>1347</v>
      </c>
      <c r="K10" s="45" t="s">
        <v>1348</v>
      </c>
      <c r="L10" s="45" t="s">
        <v>1349</v>
      </c>
      <c r="M10" s="46">
        <v>0.25</v>
      </c>
      <c r="N10" s="51">
        <v>1</v>
      </c>
      <c r="O10" s="86"/>
      <c r="P10" s="86"/>
      <c r="Q10" s="86"/>
      <c r="R10" s="86"/>
      <c r="S10" s="45" t="s">
        <v>1343</v>
      </c>
      <c r="T10" s="45" t="s">
        <v>1350</v>
      </c>
      <c r="U10" s="45" t="s">
        <v>1351</v>
      </c>
      <c r="V10" s="36" t="s">
        <v>1352</v>
      </c>
      <c r="W10" s="35">
        <v>1</v>
      </c>
      <c r="X10" s="40"/>
      <c r="Y10" s="36"/>
      <c r="Z10" s="40"/>
      <c r="AA10" s="40"/>
      <c r="AB10" s="40"/>
      <c r="AC10" s="38"/>
      <c r="AD10" s="38"/>
      <c r="AE10" s="45"/>
      <c r="AF10" s="147" t="e">
        <f>+AF1AF10:AF34</f>
        <v>#NAME?</v>
      </c>
      <c r="AG10" s="45"/>
      <c r="AH10" s="45"/>
      <c r="AI10" s="45"/>
      <c r="AJ10" s="45"/>
    </row>
    <row r="11" spans="1:36" s="87" customFormat="1" ht="321" customHeight="1" x14ac:dyDescent="0.25">
      <c r="A11" s="523"/>
      <c r="B11" s="83"/>
      <c r="C11" s="83"/>
      <c r="D11" s="83"/>
      <c r="E11" s="83"/>
      <c r="F11" s="83"/>
      <c r="G11" s="38"/>
      <c r="H11" s="38"/>
      <c r="I11" s="38"/>
      <c r="J11" s="395"/>
      <c r="K11" s="45" t="s">
        <v>1353</v>
      </c>
      <c r="L11" s="45" t="s">
        <v>1354</v>
      </c>
      <c r="M11" s="46">
        <v>0.5</v>
      </c>
      <c r="N11" s="158"/>
      <c r="O11" s="46"/>
      <c r="P11" s="46"/>
      <c r="Q11" s="54">
        <v>1</v>
      </c>
      <c r="R11" s="86"/>
      <c r="S11" s="45" t="s">
        <v>1355</v>
      </c>
      <c r="T11" s="45" t="s">
        <v>1356</v>
      </c>
      <c r="U11" s="45" t="s">
        <v>1357</v>
      </c>
      <c r="V11" s="40"/>
      <c r="W11" s="35"/>
      <c r="X11" s="40"/>
      <c r="Y11" s="36" t="s">
        <v>1358</v>
      </c>
      <c r="Z11" s="40"/>
      <c r="AA11" s="40"/>
      <c r="AB11" s="40"/>
      <c r="AC11" s="38"/>
      <c r="AD11" s="38"/>
      <c r="AE11" s="296" t="s">
        <v>1359</v>
      </c>
      <c r="AF11" s="289">
        <v>0</v>
      </c>
      <c r="AG11" s="296" t="s">
        <v>1360</v>
      </c>
      <c r="AH11" s="45"/>
      <c r="AI11" s="45"/>
      <c r="AJ11" s="45"/>
    </row>
    <row r="12" spans="1:36" s="87" customFormat="1" ht="110.25" hidden="1" customHeight="1" x14ac:dyDescent="0.25">
      <c r="A12" s="523"/>
      <c r="B12" s="83"/>
      <c r="C12" s="83"/>
      <c r="D12" s="83"/>
      <c r="E12" s="83"/>
      <c r="F12" s="83"/>
      <c r="G12" s="38"/>
      <c r="H12" s="38"/>
      <c r="I12" s="38"/>
      <c r="J12" s="49"/>
      <c r="K12" s="45" t="s">
        <v>1361</v>
      </c>
      <c r="L12" s="45" t="s">
        <v>1362</v>
      </c>
      <c r="M12" s="46">
        <v>0.25</v>
      </c>
      <c r="N12" s="158"/>
      <c r="O12" s="86"/>
      <c r="P12" s="46"/>
      <c r="Q12" s="46"/>
      <c r="R12" s="55">
        <v>1</v>
      </c>
      <c r="S12" s="45" t="s">
        <v>1363</v>
      </c>
      <c r="T12" s="38"/>
      <c r="U12" s="45" t="s">
        <v>1364</v>
      </c>
      <c r="V12" s="40"/>
      <c r="W12" s="35"/>
      <c r="X12" s="40"/>
      <c r="Y12" s="40" t="s">
        <v>503</v>
      </c>
      <c r="Z12" s="40"/>
      <c r="AA12" s="40"/>
      <c r="AB12" s="297" t="s">
        <v>1365</v>
      </c>
      <c r="AC12" s="38"/>
      <c r="AD12" s="38"/>
      <c r="AE12" s="45"/>
      <c r="AF12" s="147"/>
      <c r="AG12" s="45"/>
      <c r="AH12" s="45" t="s">
        <v>1359</v>
      </c>
      <c r="AI12" s="45"/>
      <c r="AJ12" s="45"/>
    </row>
    <row r="13" spans="1:36" s="87" customFormat="1" ht="334.5" customHeight="1" x14ac:dyDescent="0.25">
      <c r="A13" s="524"/>
      <c r="B13" s="83"/>
      <c r="C13" s="83"/>
      <c r="D13" s="83"/>
      <c r="E13" s="83"/>
      <c r="F13" s="83"/>
      <c r="G13" s="43" t="s">
        <v>1344</v>
      </c>
      <c r="H13" s="38"/>
      <c r="I13" s="38"/>
      <c r="J13" s="49" t="s">
        <v>1366</v>
      </c>
      <c r="K13" s="140" t="s">
        <v>1367</v>
      </c>
      <c r="L13" s="45" t="s">
        <v>1368</v>
      </c>
      <c r="M13" s="46">
        <v>0.25</v>
      </c>
      <c r="N13" s="51">
        <v>0.2</v>
      </c>
      <c r="O13" s="46">
        <v>0.2</v>
      </c>
      <c r="P13" s="53">
        <v>0.2</v>
      </c>
      <c r="Q13" s="54">
        <v>0.2</v>
      </c>
      <c r="R13" s="55">
        <v>0.2</v>
      </c>
      <c r="S13" s="157" t="s">
        <v>1369</v>
      </c>
      <c r="T13" s="157" t="s">
        <v>1370</v>
      </c>
      <c r="U13" s="157" t="s">
        <v>1371</v>
      </c>
      <c r="V13" s="298" t="s">
        <v>1372</v>
      </c>
      <c r="W13" s="35">
        <v>1</v>
      </c>
      <c r="X13" s="40"/>
      <c r="Y13" s="270"/>
      <c r="Z13" s="36" t="s">
        <v>844</v>
      </c>
      <c r="AA13" s="40"/>
      <c r="AB13" s="45" t="s">
        <v>1373</v>
      </c>
      <c r="AC13" s="72" t="s">
        <v>84</v>
      </c>
      <c r="AD13" s="38"/>
      <c r="AE13" s="299" t="s">
        <v>1374</v>
      </c>
      <c r="AF13" s="147">
        <v>1</v>
      </c>
      <c r="AG13" s="45"/>
      <c r="AH13" s="45" t="s">
        <v>1374</v>
      </c>
      <c r="AI13" s="45"/>
      <c r="AJ13" s="45"/>
    </row>
    <row r="14" spans="1:36" s="87" customFormat="1" ht="97.5" customHeight="1" x14ac:dyDescent="0.25">
      <c r="A14" s="38"/>
      <c r="B14" s="38"/>
      <c r="C14" s="38"/>
      <c r="D14" s="38"/>
      <c r="E14" s="38"/>
      <c r="F14" s="38"/>
      <c r="G14" s="43" t="s">
        <v>1344</v>
      </c>
      <c r="H14" s="38"/>
      <c r="I14" s="38"/>
      <c r="J14" s="45"/>
      <c r="K14" s="45" t="s">
        <v>1375</v>
      </c>
      <c r="L14" s="300" t="s">
        <v>1376</v>
      </c>
      <c r="M14" s="46">
        <v>0.25</v>
      </c>
      <c r="N14" s="51">
        <v>0.2</v>
      </c>
      <c r="O14" s="46">
        <v>0.2</v>
      </c>
      <c r="P14" s="53">
        <v>0.2</v>
      </c>
      <c r="Q14" s="54">
        <v>0.2</v>
      </c>
      <c r="R14" s="55">
        <v>0.2</v>
      </c>
      <c r="S14" s="157" t="s">
        <v>1377</v>
      </c>
      <c r="T14" s="157" t="s">
        <v>1209</v>
      </c>
      <c r="U14" s="157" t="s">
        <v>1378</v>
      </c>
      <c r="V14" s="298" t="s">
        <v>1379</v>
      </c>
      <c r="W14" s="35">
        <v>1</v>
      </c>
      <c r="X14" s="40"/>
      <c r="Y14" s="9"/>
      <c r="Z14" s="36" t="s">
        <v>844</v>
      </c>
      <c r="AA14" s="40"/>
      <c r="AB14" s="45" t="s">
        <v>1380</v>
      </c>
      <c r="AC14" s="72" t="s">
        <v>84</v>
      </c>
      <c r="AD14" s="38"/>
      <c r="AE14" s="110" t="s">
        <v>1381</v>
      </c>
      <c r="AF14" s="147">
        <v>1</v>
      </c>
      <c r="AG14" s="45"/>
      <c r="AH14" s="45" t="s">
        <v>1381</v>
      </c>
      <c r="AI14" s="45"/>
      <c r="AJ14" s="45"/>
    </row>
    <row r="15" spans="1:36" s="87" customFormat="1" ht="201" hidden="1" customHeight="1" x14ac:dyDescent="0.25">
      <c r="A15" s="38"/>
      <c r="B15" s="38"/>
      <c r="C15" s="38"/>
      <c r="D15" s="38"/>
      <c r="E15" s="38"/>
      <c r="F15" s="38"/>
      <c r="G15" s="43" t="s">
        <v>1344</v>
      </c>
      <c r="H15" s="38"/>
      <c r="I15" s="38"/>
      <c r="J15" s="45"/>
      <c r="K15" s="45" t="s">
        <v>1382</v>
      </c>
      <c r="L15" s="45" t="s">
        <v>1383</v>
      </c>
      <c r="M15" s="46">
        <v>0.25</v>
      </c>
      <c r="N15" s="46">
        <v>1</v>
      </c>
      <c r="O15" s="86"/>
      <c r="P15" s="46"/>
      <c r="Q15" s="86"/>
      <c r="R15" s="86"/>
      <c r="S15" s="157" t="s">
        <v>1384</v>
      </c>
      <c r="T15" s="211" t="s">
        <v>1209</v>
      </c>
      <c r="U15" s="157" t="s">
        <v>1385</v>
      </c>
      <c r="V15" s="9"/>
      <c r="W15" s="35">
        <v>0</v>
      </c>
      <c r="X15" s="157" t="s">
        <v>1386</v>
      </c>
      <c r="Y15" s="40"/>
      <c r="Z15" s="40"/>
      <c r="AA15" s="40"/>
      <c r="AB15" s="40"/>
      <c r="AC15" s="38"/>
      <c r="AD15" s="38"/>
      <c r="AE15" s="45"/>
      <c r="AF15" s="147"/>
      <c r="AG15" s="45"/>
      <c r="AH15" s="45"/>
      <c r="AI15" s="45"/>
      <c r="AJ15" s="45"/>
    </row>
    <row r="16" spans="1:36" s="87" customFormat="1" ht="174.75" customHeight="1" x14ac:dyDescent="0.25">
      <c r="A16" s="38"/>
      <c r="B16" s="38"/>
      <c r="C16" s="38"/>
      <c r="D16" s="38"/>
      <c r="E16" s="38"/>
      <c r="F16" s="38"/>
      <c r="G16" s="43" t="s">
        <v>1344</v>
      </c>
      <c r="H16" s="38"/>
      <c r="I16" s="38"/>
      <c r="J16" s="45"/>
      <c r="K16" s="45" t="s">
        <v>1387</v>
      </c>
      <c r="L16" s="196" t="s">
        <v>1388</v>
      </c>
      <c r="M16" s="46">
        <v>0.25</v>
      </c>
      <c r="N16" s="46">
        <v>0.2</v>
      </c>
      <c r="O16" s="52">
        <v>0.2</v>
      </c>
      <c r="P16" s="53">
        <v>0.2</v>
      </c>
      <c r="Q16" s="54">
        <v>0.2</v>
      </c>
      <c r="R16" s="55">
        <v>0.2</v>
      </c>
      <c r="S16" s="157" t="s">
        <v>1389</v>
      </c>
      <c r="T16" s="157" t="s">
        <v>1390</v>
      </c>
      <c r="U16" s="157" t="s">
        <v>1391</v>
      </c>
      <c r="V16" s="9"/>
      <c r="W16" s="107">
        <v>1</v>
      </c>
      <c r="X16" s="40"/>
      <c r="Y16" s="36" t="s">
        <v>1392</v>
      </c>
      <c r="Z16" s="107">
        <v>1</v>
      </c>
      <c r="AA16" s="40"/>
      <c r="AB16" s="45" t="s">
        <v>1373</v>
      </c>
      <c r="AC16" s="72" t="s">
        <v>84</v>
      </c>
      <c r="AD16" s="38"/>
      <c r="AE16" s="45" t="s">
        <v>1393</v>
      </c>
      <c r="AF16" s="147">
        <v>1</v>
      </c>
      <c r="AG16" s="45"/>
      <c r="AH16" s="45" t="s">
        <v>1393</v>
      </c>
      <c r="AI16" s="45"/>
      <c r="AJ16" s="45"/>
    </row>
    <row r="17" spans="1:36" s="87" customFormat="1" ht="241.5" customHeight="1" x14ac:dyDescent="0.25">
      <c r="A17" s="38"/>
      <c r="B17" s="38"/>
      <c r="C17" s="38"/>
      <c r="D17" s="38"/>
      <c r="E17" s="38"/>
      <c r="F17" s="38"/>
      <c r="G17" s="43" t="s">
        <v>1344</v>
      </c>
      <c r="H17" s="38"/>
      <c r="I17" s="38"/>
      <c r="J17" s="49" t="s">
        <v>1394</v>
      </c>
      <c r="K17" s="45" t="s">
        <v>1395</v>
      </c>
      <c r="L17" s="196" t="s">
        <v>1396</v>
      </c>
      <c r="M17" s="46">
        <v>0.5</v>
      </c>
      <c r="N17" s="46"/>
      <c r="O17" s="52">
        <v>0.25</v>
      </c>
      <c r="P17" s="53">
        <v>0.25</v>
      </c>
      <c r="Q17" s="54">
        <v>0.25</v>
      </c>
      <c r="R17" s="55">
        <v>0.25</v>
      </c>
      <c r="S17" s="384" t="s">
        <v>1397</v>
      </c>
      <c r="T17" s="384" t="s">
        <v>1398</v>
      </c>
      <c r="U17" s="384" t="s">
        <v>1399</v>
      </c>
      <c r="V17" s="298" t="s">
        <v>1400</v>
      </c>
      <c r="W17" s="35">
        <v>1</v>
      </c>
      <c r="X17" s="40"/>
      <c r="Y17" s="72" t="s">
        <v>1401</v>
      </c>
      <c r="Z17" s="107">
        <v>1</v>
      </c>
      <c r="AA17" s="40"/>
      <c r="AB17" s="45" t="s">
        <v>1402</v>
      </c>
      <c r="AC17" s="72" t="s">
        <v>84</v>
      </c>
      <c r="AD17" s="38"/>
      <c r="AE17" s="45" t="s">
        <v>1403</v>
      </c>
      <c r="AF17" s="147">
        <v>1</v>
      </c>
      <c r="AG17" s="45"/>
      <c r="AH17" s="45" t="s">
        <v>1403</v>
      </c>
      <c r="AI17" s="45"/>
      <c r="AJ17" s="45"/>
    </row>
    <row r="18" spans="1:36" s="87" customFormat="1" ht="60" hidden="1" customHeight="1" x14ac:dyDescent="0.25">
      <c r="A18" s="38"/>
      <c r="B18" s="38"/>
      <c r="C18" s="38"/>
      <c r="D18" s="38"/>
      <c r="E18" s="38"/>
      <c r="F18" s="38"/>
      <c r="G18" s="43" t="s">
        <v>1344</v>
      </c>
      <c r="H18" s="38"/>
      <c r="I18" s="38"/>
      <c r="J18" s="49" t="s">
        <v>1404</v>
      </c>
      <c r="K18" s="45" t="s">
        <v>1405</v>
      </c>
      <c r="L18" s="196" t="s">
        <v>1406</v>
      </c>
      <c r="M18" s="46">
        <v>0.25</v>
      </c>
      <c r="N18" s="46"/>
      <c r="O18" s="46">
        <v>1</v>
      </c>
      <c r="P18" s="46"/>
      <c r="Q18" s="46"/>
      <c r="R18" s="46"/>
      <c r="S18" s="385"/>
      <c r="T18" s="385"/>
      <c r="U18" s="385"/>
      <c r="V18" s="40"/>
      <c r="W18" s="35"/>
      <c r="X18" s="40"/>
      <c r="Y18" s="9"/>
      <c r="Z18" s="36" t="s">
        <v>844</v>
      </c>
      <c r="AA18" s="40"/>
      <c r="AB18" s="40"/>
      <c r="AC18" s="38"/>
      <c r="AD18" s="38"/>
      <c r="AE18" s="45"/>
      <c r="AF18" s="147"/>
      <c r="AG18" s="45"/>
      <c r="AH18" s="45"/>
      <c r="AI18" s="45"/>
      <c r="AJ18" s="45"/>
    </row>
    <row r="19" spans="1:36" s="87" customFormat="1" ht="222" hidden="1" customHeight="1" x14ac:dyDescent="0.25">
      <c r="A19" s="38"/>
      <c r="B19" s="38"/>
      <c r="C19" s="38"/>
      <c r="D19" s="38"/>
      <c r="E19" s="38"/>
      <c r="F19" s="38"/>
      <c r="G19" s="43" t="s">
        <v>1344</v>
      </c>
      <c r="H19" s="38"/>
      <c r="I19" s="38"/>
      <c r="J19" s="49"/>
      <c r="K19" s="45" t="s">
        <v>1407</v>
      </c>
      <c r="L19" s="196" t="s">
        <v>1408</v>
      </c>
      <c r="M19" s="46">
        <v>0.25</v>
      </c>
      <c r="N19" s="46"/>
      <c r="O19" s="46">
        <v>1</v>
      </c>
      <c r="P19" s="46"/>
      <c r="Q19" s="46"/>
      <c r="R19" s="46"/>
      <c r="S19" s="386"/>
      <c r="T19" s="386"/>
      <c r="U19" s="386"/>
      <c r="V19" s="40"/>
      <c r="W19" s="35"/>
      <c r="X19" s="40"/>
      <c r="Y19" s="9"/>
      <c r="Z19" s="46">
        <v>0.3</v>
      </c>
      <c r="AA19" s="78" t="s">
        <v>1409</v>
      </c>
      <c r="AB19" s="45"/>
      <c r="AC19" s="46"/>
      <c r="AD19" s="45" t="s">
        <v>1410</v>
      </c>
      <c r="AE19" s="45"/>
      <c r="AF19" s="147"/>
      <c r="AG19" s="45"/>
      <c r="AH19" s="45"/>
      <c r="AI19" s="45"/>
      <c r="AJ19" s="45"/>
    </row>
    <row r="20" spans="1:36" s="87" customFormat="1" ht="228" hidden="1" customHeight="1" x14ac:dyDescent="0.25">
      <c r="A20" s="38"/>
      <c r="B20" s="38"/>
      <c r="C20" s="38"/>
      <c r="D20" s="38"/>
      <c r="E20" s="38"/>
      <c r="F20" s="38"/>
      <c r="G20" s="43" t="s">
        <v>1344</v>
      </c>
      <c r="H20" s="38"/>
      <c r="I20" s="38"/>
      <c r="J20" s="49" t="s">
        <v>1411</v>
      </c>
      <c r="K20" s="45" t="s">
        <v>1412</v>
      </c>
      <c r="L20" s="45" t="s">
        <v>1413</v>
      </c>
      <c r="M20" s="46">
        <v>0.25</v>
      </c>
      <c r="N20" s="46">
        <v>1</v>
      </c>
      <c r="O20" s="86"/>
      <c r="P20" s="86"/>
      <c r="Q20" s="86"/>
      <c r="R20" s="86"/>
      <c r="S20" s="384" t="s">
        <v>1414</v>
      </c>
      <c r="T20" s="384" t="s">
        <v>1415</v>
      </c>
      <c r="U20" s="384" t="s">
        <v>1416</v>
      </c>
      <c r="V20" s="298" t="s">
        <v>1417</v>
      </c>
      <c r="W20" s="35">
        <v>1</v>
      </c>
      <c r="X20" s="40"/>
      <c r="Y20" s="40"/>
      <c r="Z20" s="40"/>
      <c r="AA20" s="40"/>
      <c r="AB20" s="40"/>
      <c r="AC20" s="38"/>
      <c r="AD20" s="38"/>
      <c r="AE20" s="45"/>
      <c r="AF20" s="147"/>
      <c r="AG20" s="45"/>
      <c r="AH20" s="45"/>
      <c r="AI20" s="45"/>
      <c r="AJ20" s="45"/>
    </row>
    <row r="21" spans="1:36" s="87" customFormat="1" ht="138" hidden="1" customHeight="1" x14ac:dyDescent="0.25">
      <c r="A21" s="38"/>
      <c r="B21" s="38"/>
      <c r="C21" s="38"/>
      <c r="D21" s="38"/>
      <c r="E21" s="38"/>
      <c r="F21" s="38"/>
      <c r="G21" s="43" t="s">
        <v>1344</v>
      </c>
      <c r="H21" s="211"/>
      <c r="I21" s="211"/>
      <c r="J21" s="49"/>
      <c r="K21" s="45" t="s">
        <v>1418</v>
      </c>
      <c r="L21" s="45" t="s">
        <v>1419</v>
      </c>
      <c r="M21" s="46">
        <v>0.25</v>
      </c>
      <c r="N21" s="86"/>
      <c r="O21" s="46">
        <v>1</v>
      </c>
      <c r="P21" s="86"/>
      <c r="Q21" s="86"/>
      <c r="R21" s="86"/>
      <c r="S21" s="510"/>
      <c r="T21" s="510"/>
      <c r="U21" s="385"/>
      <c r="V21" s="40"/>
      <c r="W21" s="35"/>
      <c r="X21" s="40"/>
      <c r="Y21" s="494" t="s">
        <v>1420</v>
      </c>
      <c r="Z21" s="522">
        <v>1</v>
      </c>
      <c r="AA21" s="133"/>
      <c r="AB21" s="40"/>
      <c r="AC21" s="38"/>
      <c r="AD21" s="38"/>
      <c r="AE21" s="45"/>
      <c r="AF21" s="147"/>
      <c r="AG21" s="45"/>
      <c r="AH21" s="45"/>
      <c r="AI21" s="45"/>
      <c r="AJ21" s="45"/>
    </row>
    <row r="22" spans="1:36" s="87" customFormat="1" ht="84" hidden="1" customHeight="1" x14ac:dyDescent="0.25">
      <c r="A22" s="38"/>
      <c r="B22" s="38"/>
      <c r="C22" s="38"/>
      <c r="D22" s="38"/>
      <c r="E22" s="38"/>
      <c r="F22" s="38"/>
      <c r="G22" s="43" t="s">
        <v>1344</v>
      </c>
      <c r="H22" s="211"/>
      <c r="I22" s="211"/>
      <c r="J22" s="49"/>
      <c r="K22" s="45" t="s">
        <v>1421</v>
      </c>
      <c r="L22" s="45" t="s">
        <v>1422</v>
      </c>
      <c r="M22" s="46">
        <v>0.5</v>
      </c>
      <c r="N22" s="86"/>
      <c r="O22" s="46">
        <v>1</v>
      </c>
      <c r="P22" s="46"/>
      <c r="Q22" s="86"/>
      <c r="R22" s="86"/>
      <c r="S22" s="474"/>
      <c r="T22" s="474"/>
      <c r="U22" s="386"/>
      <c r="V22" s="40"/>
      <c r="W22" s="35"/>
      <c r="X22" s="40"/>
      <c r="Y22" s="496"/>
      <c r="Z22" s="389"/>
      <c r="AA22" s="133"/>
      <c r="AB22" s="40"/>
      <c r="AC22" s="38"/>
      <c r="AD22" s="38"/>
      <c r="AF22" s="147"/>
      <c r="AG22" s="45"/>
      <c r="AH22" s="45"/>
      <c r="AI22" s="45"/>
      <c r="AJ22" s="45"/>
    </row>
    <row r="23" spans="1:36" s="87" customFormat="1" ht="129" customHeight="1" x14ac:dyDescent="0.25">
      <c r="A23" s="38"/>
      <c r="B23" s="38"/>
      <c r="C23" s="38"/>
      <c r="D23" s="38"/>
      <c r="E23" s="38"/>
      <c r="F23" s="38"/>
      <c r="G23" s="43" t="s">
        <v>1344</v>
      </c>
      <c r="H23" s="211"/>
      <c r="I23" s="211"/>
      <c r="J23" s="49" t="s">
        <v>1423</v>
      </c>
      <c r="K23" s="45" t="s">
        <v>1424</v>
      </c>
      <c r="L23" s="45" t="s">
        <v>1425</v>
      </c>
      <c r="M23" s="46">
        <v>1</v>
      </c>
      <c r="N23" s="51">
        <v>0.2</v>
      </c>
      <c r="O23" s="52">
        <v>0.2</v>
      </c>
      <c r="P23" s="53">
        <v>0.2</v>
      </c>
      <c r="Q23" s="54">
        <v>0.2</v>
      </c>
      <c r="R23" s="55">
        <v>0.2</v>
      </c>
      <c r="S23" s="45" t="s">
        <v>1426</v>
      </c>
      <c r="T23" s="45" t="s">
        <v>1427</v>
      </c>
      <c r="U23" s="45" t="s">
        <v>1428</v>
      </c>
      <c r="V23" s="298" t="s">
        <v>1429</v>
      </c>
      <c r="W23" s="35">
        <v>1</v>
      </c>
      <c r="X23" s="40"/>
      <c r="Y23" s="72" t="s">
        <v>1430</v>
      </c>
      <c r="Z23" s="35">
        <v>1</v>
      </c>
      <c r="AA23" s="40"/>
      <c r="AB23" s="298" t="s">
        <v>1431</v>
      </c>
      <c r="AC23" s="72" t="s">
        <v>84</v>
      </c>
      <c r="AD23" s="72" t="s">
        <v>1432</v>
      </c>
      <c r="AE23" s="298" t="s">
        <v>1431</v>
      </c>
      <c r="AF23" s="147">
        <v>1</v>
      </c>
      <c r="AG23" s="45"/>
      <c r="AH23" s="45" t="s">
        <v>1433</v>
      </c>
      <c r="AI23" s="45"/>
      <c r="AJ23" s="45"/>
    </row>
    <row r="24" spans="1:36" s="87" customFormat="1" ht="112.5" customHeight="1" x14ac:dyDescent="0.25">
      <c r="A24" s="38"/>
      <c r="B24" s="38"/>
      <c r="C24" s="38"/>
      <c r="D24" s="38"/>
      <c r="E24" s="38"/>
      <c r="F24" s="38"/>
      <c r="G24" s="43" t="s">
        <v>1344</v>
      </c>
      <c r="H24" s="211"/>
      <c r="I24" s="211"/>
      <c r="J24" s="49" t="s">
        <v>1434</v>
      </c>
      <c r="K24" s="45" t="s">
        <v>1435</v>
      </c>
      <c r="L24" s="45" t="s">
        <v>1436</v>
      </c>
      <c r="M24" s="46">
        <v>0.5</v>
      </c>
      <c r="N24" s="51">
        <v>0.2</v>
      </c>
      <c r="O24" s="52">
        <v>0.2</v>
      </c>
      <c r="P24" s="53">
        <v>0.2</v>
      </c>
      <c r="Q24" s="54">
        <v>0.2</v>
      </c>
      <c r="R24" s="55">
        <v>0.2</v>
      </c>
      <c r="S24" s="45" t="s">
        <v>1437</v>
      </c>
      <c r="T24" s="45" t="s">
        <v>1438</v>
      </c>
      <c r="U24" s="384" t="s">
        <v>1439</v>
      </c>
      <c r="V24" s="298" t="s">
        <v>1440</v>
      </c>
      <c r="W24" s="35">
        <v>1</v>
      </c>
      <c r="X24" s="40"/>
      <c r="Y24" s="72" t="s">
        <v>1441</v>
      </c>
      <c r="Z24" s="35">
        <v>1</v>
      </c>
      <c r="AA24" s="40"/>
      <c r="AB24" s="72" t="s">
        <v>1442</v>
      </c>
      <c r="AC24" s="72" t="s">
        <v>84</v>
      </c>
      <c r="AD24" s="38"/>
      <c r="AE24" s="45" t="s">
        <v>1443</v>
      </c>
      <c r="AF24" s="147">
        <v>1</v>
      </c>
      <c r="AG24" s="45"/>
      <c r="AH24" s="45" t="s">
        <v>1444</v>
      </c>
      <c r="AI24" s="45"/>
      <c r="AJ24" s="45"/>
    </row>
    <row r="25" spans="1:36" s="87" customFormat="1" ht="148.5" customHeight="1" x14ac:dyDescent="0.25">
      <c r="A25" s="38"/>
      <c r="B25" s="38"/>
      <c r="C25" s="38"/>
      <c r="D25" s="38"/>
      <c r="E25" s="38"/>
      <c r="F25" s="38"/>
      <c r="G25" s="43" t="s">
        <v>1344</v>
      </c>
      <c r="H25" s="211"/>
      <c r="I25" s="211"/>
      <c r="J25" s="45"/>
      <c r="K25" s="45" t="s">
        <v>1445</v>
      </c>
      <c r="L25" s="45" t="s">
        <v>1436</v>
      </c>
      <c r="M25" s="46">
        <v>0.5</v>
      </c>
      <c r="N25" s="86"/>
      <c r="O25" s="46">
        <v>0.25</v>
      </c>
      <c r="P25" s="53">
        <v>0.25</v>
      </c>
      <c r="Q25" s="54">
        <v>0.25</v>
      </c>
      <c r="R25" s="55">
        <v>0.25</v>
      </c>
      <c r="S25" s="45" t="s">
        <v>1437</v>
      </c>
      <c r="T25" s="45" t="s">
        <v>1438</v>
      </c>
      <c r="U25" s="386"/>
      <c r="V25" s="40"/>
      <c r="W25" s="35">
        <v>1</v>
      </c>
      <c r="X25" s="40"/>
      <c r="Y25" s="9"/>
      <c r="Z25" s="36" t="s">
        <v>844</v>
      </c>
      <c r="AA25" s="40"/>
      <c r="AB25" s="72" t="s">
        <v>1442</v>
      </c>
      <c r="AC25" s="72" t="s">
        <v>84</v>
      </c>
      <c r="AD25" s="38"/>
      <c r="AE25" s="45" t="s">
        <v>1443</v>
      </c>
      <c r="AF25" s="147">
        <v>1</v>
      </c>
      <c r="AG25" s="45"/>
      <c r="AH25" s="45" t="s">
        <v>1446</v>
      </c>
      <c r="AI25" s="45"/>
      <c r="AJ25" s="45"/>
    </row>
    <row r="26" spans="1:36" s="87" customFormat="1" ht="135" hidden="1" x14ac:dyDescent="0.25">
      <c r="A26" s="38"/>
      <c r="B26" s="290" t="s">
        <v>1447</v>
      </c>
      <c r="C26" s="290" t="s">
        <v>1448</v>
      </c>
      <c r="D26" s="170">
        <v>40909</v>
      </c>
      <c r="E26" s="170">
        <v>42705</v>
      </c>
      <c r="F26" s="64" t="s">
        <v>1343</v>
      </c>
      <c r="G26" s="43" t="s">
        <v>1344</v>
      </c>
      <c r="H26" s="157" t="s">
        <v>1449</v>
      </c>
      <c r="I26" s="157" t="s">
        <v>1450</v>
      </c>
      <c r="J26" s="393" t="s">
        <v>1451</v>
      </c>
      <c r="K26" s="157" t="s">
        <v>1452</v>
      </c>
      <c r="L26" s="45" t="s">
        <v>1453</v>
      </c>
      <c r="M26" s="46">
        <v>0.2</v>
      </c>
      <c r="N26" s="51">
        <v>1</v>
      </c>
      <c r="O26" s="86"/>
      <c r="P26" s="86"/>
      <c r="Q26" s="86"/>
      <c r="R26" s="86"/>
      <c r="S26" s="521" t="s">
        <v>1454</v>
      </c>
      <c r="T26" s="521" t="s">
        <v>1209</v>
      </c>
      <c r="U26" s="521" t="s">
        <v>1455</v>
      </c>
      <c r="V26" s="298" t="s">
        <v>1456</v>
      </c>
      <c r="W26" s="35">
        <v>1</v>
      </c>
      <c r="X26" s="40"/>
      <c r="Y26" s="40"/>
      <c r="Z26" s="40"/>
      <c r="AA26" s="40"/>
      <c r="AB26" s="40"/>
      <c r="AC26" s="38"/>
      <c r="AD26" s="38"/>
      <c r="AE26" s="45"/>
      <c r="AF26" s="147"/>
      <c r="AG26" s="45"/>
      <c r="AH26" s="45"/>
      <c r="AI26" s="45"/>
      <c r="AJ26" s="45"/>
    </row>
    <row r="27" spans="1:36" s="87" customFormat="1" ht="357" hidden="1" x14ac:dyDescent="0.25">
      <c r="A27" s="38"/>
      <c r="B27" s="38"/>
      <c r="C27" s="38"/>
      <c r="D27" s="38"/>
      <c r="E27" s="38"/>
      <c r="F27" s="38"/>
      <c r="G27" s="43" t="s">
        <v>1344</v>
      </c>
      <c r="H27" s="157"/>
      <c r="I27" s="157"/>
      <c r="J27" s="395"/>
      <c r="K27" s="45" t="s">
        <v>1457</v>
      </c>
      <c r="L27" s="45" t="s">
        <v>1458</v>
      </c>
      <c r="M27" s="46">
        <v>0.2</v>
      </c>
      <c r="N27" s="51">
        <v>1</v>
      </c>
      <c r="O27" s="142"/>
      <c r="P27" s="142"/>
      <c r="Q27" s="142"/>
      <c r="R27" s="142"/>
      <c r="S27" s="385"/>
      <c r="T27" s="385"/>
      <c r="U27" s="385"/>
      <c r="V27" s="179" t="s">
        <v>1459</v>
      </c>
      <c r="W27" s="35">
        <v>1</v>
      </c>
      <c r="X27" s="40"/>
      <c r="Y27" s="40"/>
      <c r="Z27" s="40"/>
      <c r="AA27" s="40"/>
      <c r="AB27" s="40"/>
      <c r="AC27" s="38"/>
      <c r="AD27" s="38"/>
      <c r="AE27" s="45"/>
      <c r="AF27" s="147"/>
      <c r="AG27" s="45"/>
      <c r="AH27" s="45"/>
      <c r="AI27" s="45"/>
      <c r="AJ27" s="45"/>
    </row>
    <row r="28" spans="1:36" s="87" customFormat="1" ht="270" x14ac:dyDescent="0.25">
      <c r="A28" s="38"/>
      <c r="B28" s="38"/>
      <c r="C28" s="38"/>
      <c r="D28" s="38"/>
      <c r="E28" s="38"/>
      <c r="F28" s="38"/>
      <c r="G28" s="43" t="s">
        <v>1344</v>
      </c>
      <c r="H28" s="157"/>
      <c r="I28" s="157"/>
      <c r="J28" s="44"/>
      <c r="K28" s="45" t="s">
        <v>1460</v>
      </c>
      <c r="L28" s="45" t="s">
        <v>1461</v>
      </c>
      <c r="M28" s="46">
        <v>0.2</v>
      </c>
      <c r="N28" s="51">
        <v>0.2</v>
      </c>
      <c r="O28" s="52">
        <v>0.2</v>
      </c>
      <c r="P28" s="53">
        <v>0.2</v>
      </c>
      <c r="Q28" s="54">
        <v>0.2</v>
      </c>
      <c r="R28" s="55">
        <v>0.2</v>
      </c>
      <c r="S28" s="386"/>
      <c r="T28" s="386"/>
      <c r="U28" s="45" t="s">
        <v>1462</v>
      </c>
      <c r="V28" s="251" t="s">
        <v>1463</v>
      </c>
      <c r="W28" s="35">
        <v>1</v>
      </c>
      <c r="X28" s="40"/>
      <c r="Y28" s="72" t="s">
        <v>1464</v>
      </c>
      <c r="Z28" s="35">
        <v>1</v>
      </c>
      <c r="AA28" s="40"/>
      <c r="AB28" s="72" t="s">
        <v>1465</v>
      </c>
      <c r="AC28" s="270" t="s">
        <v>937</v>
      </c>
      <c r="AD28" s="270" t="s">
        <v>1466</v>
      </c>
      <c r="AE28" s="45" t="s">
        <v>1467</v>
      </c>
      <c r="AF28" s="147">
        <v>1</v>
      </c>
      <c r="AG28" s="45"/>
      <c r="AH28" s="45" t="s">
        <v>1465</v>
      </c>
      <c r="AI28" s="45"/>
      <c r="AJ28" s="45"/>
    </row>
    <row r="29" spans="1:36" s="87" customFormat="1" ht="255" hidden="1" x14ac:dyDescent="0.25">
      <c r="A29" s="38"/>
      <c r="B29" s="38"/>
      <c r="C29" s="38"/>
      <c r="D29" s="38"/>
      <c r="E29" s="38"/>
      <c r="F29" s="38"/>
      <c r="G29" s="43" t="s">
        <v>1344</v>
      </c>
      <c r="H29" s="157"/>
      <c r="I29" s="157"/>
      <c r="J29" s="44"/>
      <c r="K29" s="45" t="s">
        <v>1468</v>
      </c>
      <c r="L29" s="45" t="s">
        <v>1469</v>
      </c>
      <c r="M29" s="46">
        <v>0.2</v>
      </c>
      <c r="N29" s="51">
        <v>1</v>
      </c>
      <c r="O29" s="86"/>
      <c r="P29" s="86"/>
      <c r="Q29" s="86"/>
      <c r="R29" s="86"/>
      <c r="S29" s="302" t="s">
        <v>1454</v>
      </c>
      <c r="T29" s="45"/>
      <c r="U29" s="45" t="s">
        <v>1470</v>
      </c>
      <c r="V29" s="251" t="s">
        <v>1471</v>
      </c>
      <c r="W29" s="35">
        <v>1</v>
      </c>
      <c r="X29" s="40"/>
      <c r="Y29" s="40"/>
      <c r="Z29" s="40"/>
      <c r="AA29" s="40"/>
      <c r="AB29" s="40"/>
      <c r="AC29" s="38"/>
      <c r="AD29" s="38"/>
      <c r="AE29" s="45"/>
      <c r="AF29" s="147"/>
      <c r="AG29" s="45"/>
      <c r="AH29" s="45"/>
      <c r="AI29" s="45"/>
      <c r="AJ29" s="45"/>
    </row>
    <row r="30" spans="1:36" s="87" customFormat="1" ht="151.5" customHeight="1" thickBot="1" x14ac:dyDescent="0.3">
      <c r="A30" s="38"/>
      <c r="B30" s="38"/>
      <c r="C30" s="38"/>
      <c r="D30" s="38"/>
      <c r="E30" s="38"/>
      <c r="F30" s="38"/>
      <c r="G30" s="43" t="s">
        <v>1344</v>
      </c>
      <c r="H30" s="157"/>
      <c r="I30" s="157"/>
      <c r="J30" s="44"/>
      <c r="K30" s="45" t="s">
        <v>1472</v>
      </c>
      <c r="L30" s="45" t="s">
        <v>1473</v>
      </c>
      <c r="M30" s="46">
        <v>0.2</v>
      </c>
      <c r="N30" s="51">
        <v>0.2</v>
      </c>
      <c r="O30" s="52">
        <v>0.2</v>
      </c>
      <c r="P30" s="53">
        <v>0.2</v>
      </c>
      <c r="Q30" s="54">
        <v>0.2</v>
      </c>
      <c r="R30" s="55">
        <v>0.2</v>
      </c>
      <c r="S30" s="45" t="s">
        <v>1474</v>
      </c>
      <c r="T30" s="45" t="s">
        <v>1475</v>
      </c>
      <c r="U30" s="109" t="s">
        <v>1476</v>
      </c>
      <c r="V30" s="251" t="s">
        <v>1477</v>
      </c>
      <c r="W30" s="35">
        <v>0</v>
      </c>
      <c r="X30" s="251" t="s">
        <v>1478</v>
      </c>
      <c r="Y30" s="195" t="s">
        <v>1479</v>
      </c>
      <c r="Z30" s="35">
        <v>1</v>
      </c>
      <c r="AA30" s="40"/>
      <c r="AB30" s="213" t="s">
        <v>1480</v>
      </c>
      <c r="AC30" s="213" t="s">
        <v>84</v>
      </c>
      <c r="AD30" s="38"/>
      <c r="AE30" s="45" t="s">
        <v>1481</v>
      </c>
      <c r="AF30" s="147">
        <v>1</v>
      </c>
      <c r="AG30" s="45"/>
      <c r="AH30" s="45" t="s">
        <v>1482</v>
      </c>
      <c r="AI30" s="45"/>
      <c r="AJ30" s="45"/>
    </row>
    <row r="31" spans="1:36" s="87" customFormat="1" ht="179.25" customHeight="1" x14ac:dyDescent="0.25">
      <c r="A31" s="38"/>
      <c r="B31" s="38"/>
      <c r="C31" s="38"/>
      <c r="D31" s="38"/>
      <c r="E31" s="38"/>
      <c r="F31" s="38"/>
      <c r="G31" s="43" t="s">
        <v>1344</v>
      </c>
      <c r="H31" s="157"/>
      <c r="I31" s="157"/>
      <c r="J31" s="49" t="s">
        <v>1483</v>
      </c>
      <c r="K31" s="45" t="s">
        <v>1484</v>
      </c>
      <c r="L31" s="45" t="s">
        <v>1485</v>
      </c>
      <c r="M31" s="46">
        <v>1</v>
      </c>
      <c r="N31" s="51">
        <v>1</v>
      </c>
      <c r="O31" s="303">
        <v>1200</v>
      </c>
      <c r="P31" s="304">
        <v>1200</v>
      </c>
      <c r="Q31" s="305">
        <v>1200</v>
      </c>
      <c r="R31" s="306">
        <v>1200</v>
      </c>
      <c r="S31" s="45" t="s">
        <v>1486</v>
      </c>
      <c r="T31" s="45"/>
      <c r="U31" s="45" t="s">
        <v>1487</v>
      </c>
      <c r="V31" s="251" t="s">
        <v>1488</v>
      </c>
      <c r="W31" s="251" t="s">
        <v>1489</v>
      </c>
      <c r="X31" s="251" t="s">
        <v>1490</v>
      </c>
      <c r="Y31" s="94" t="s">
        <v>1491</v>
      </c>
      <c r="Z31" s="35">
        <v>1</v>
      </c>
      <c r="AA31" s="40"/>
      <c r="AB31" s="299" t="s">
        <v>1492</v>
      </c>
      <c r="AC31" s="216" t="s">
        <v>533</v>
      </c>
      <c r="AD31" s="299"/>
      <c r="AE31" s="299" t="s">
        <v>1492</v>
      </c>
      <c r="AF31" s="147">
        <v>0</v>
      </c>
      <c r="AG31" s="45" t="s">
        <v>1493</v>
      </c>
      <c r="AH31" s="307" t="s">
        <v>1492</v>
      </c>
      <c r="AI31" s="45"/>
      <c r="AJ31" s="45"/>
    </row>
    <row r="32" spans="1:36" s="87" customFormat="1" ht="238.5" customHeight="1" x14ac:dyDescent="0.25">
      <c r="A32" s="38"/>
      <c r="B32" s="38"/>
      <c r="C32" s="38"/>
      <c r="D32" s="38"/>
      <c r="E32" s="38"/>
      <c r="F32" s="38"/>
      <c r="G32" s="43" t="s">
        <v>1344</v>
      </c>
      <c r="H32" s="157"/>
      <c r="I32" s="157"/>
      <c r="J32" s="49" t="s">
        <v>1494</v>
      </c>
      <c r="K32" s="196" t="s">
        <v>1495</v>
      </c>
      <c r="L32" s="196" t="s">
        <v>1496</v>
      </c>
      <c r="M32" s="46">
        <v>0.15</v>
      </c>
      <c r="N32" s="51">
        <v>0.2</v>
      </c>
      <c r="O32" s="52">
        <v>0.2</v>
      </c>
      <c r="P32" s="53">
        <v>0.2</v>
      </c>
      <c r="Q32" s="54">
        <v>0.2</v>
      </c>
      <c r="R32" s="55">
        <v>0.2</v>
      </c>
      <c r="S32" s="45" t="s">
        <v>1497</v>
      </c>
      <c r="T32" s="45" t="s">
        <v>1498</v>
      </c>
      <c r="U32" s="109" t="s">
        <v>1499</v>
      </c>
      <c r="V32" s="195" t="s">
        <v>1500</v>
      </c>
      <c r="W32" s="308">
        <v>1</v>
      </c>
      <c r="X32" s="195"/>
      <c r="Y32" s="195" t="s">
        <v>1501</v>
      </c>
      <c r="Z32" s="308">
        <v>1</v>
      </c>
      <c r="AA32" s="40"/>
      <c r="AB32" s="309" t="s">
        <v>1502</v>
      </c>
      <c r="AC32" s="72" t="s">
        <v>84</v>
      </c>
      <c r="AD32" s="38"/>
      <c r="AE32" s="310" t="s">
        <v>1503</v>
      </c>
      <c r="AF32" s="147">
        <v>1</v>
      </c>
      <c r="AG32" s="45"/>
      <c r="AH32" s="45" t="s">
        <v>1504</v>
      </c>
      <c r="AI32" s="45"/>
      <c r="AJ32" s="45"/>
    </row>
    <row r="33" spans="1:36" s="87" customFormat="1" ht="285" hidden="1" x14ac:dyDescent="0.25">
      <c r="A33" s="38"/>
      <c r="B33" s="38"/>
      <c r="C33" s="38"/>
      <c r="D33" s="38"/>
      <c r="E33" s="38"/>
      <c r="F33" s="38"/>
      <c r="G33" s="43" t="s">
        <v>1344</v>
      </c>
      <c r="H33" s="157"/>
      <c r="I33" s="157"/>
      <c r="J33" s="44"/>
      <c r="K33" s="45" t="s">
        <v>1505</v>
      </c>
      <c r="L33" s="45" t="s">
        <v>1496</v>
      </c>
      <c r="M33" s="46">
        <v>0.15</v>
      </c>
      <c r="N33" s="51">
        <v>1</v>
      </c>
      <c r="O33" s="46"/>
      <c r="P33" s="46"/>
      <c r="Q33" s="46"/>
      <c r="R33" s="46"/>
      <c r="S33" s="45" t="s">
        <v>1506</v>
      </c>
      <c r="T33" s="45" t="s">
        <v>1507</v>
      </c>
      <c r="U33" s="109" t="s">
        <v>1508</v>
      </c>
      <c r="V33" s="72" t="s">
        <v>1509</v>
      </c>
      <c r="W33" s="35">
        <v>1</v>
      </c>
      <c r="X33" s="40"/>
      <c r="Y33" s="72" t="s">
        <v>1510</v>
      </c>
      <c r="Z33" s="308">
        <v>1</v>
      </c>
      <c r="AA33" s="40"/>
      <c r="AB33" s="40"/>
      <c r="AC33" s="38"/>
      <c r="AD33" s="38"/>
      <c r="AE33" s="45"/>
      <c r="AF33" s="147"/>
      <c r="AG33" s="45"/>
      <c r="AH33" s="45"/>
      <c r="AI33" s="45"/>
      <c r="AJ33" s="45"/>
    </row>
    <row r="34" spans="1:36" s="87" customFormat="1" ht="212.25" customHeight="1" x14ac:dyDescent="0.25">
      <c r="A34" s="38"/>
      <c r="B34" s="38"/>
      <c r="C34" s="38"/>
      <c r="D34" s="38"/>
      <c r="E34" s="38"/>
      <c r="F34" s="38"/>
      <c r="G34" s="43" t="s">
        <v>1344</v>
      </c>
      <c r="H34" s="157"/>
      <c r="I34" s="157"/>
      <c r="J34" s="44"/>
      <c r="K34" s="45" t="s">
        <v>1511</v>
      </c>
      <c r="L34" s="45" t="s">
        <v>1512</v>
      </c>
      <c r="M34" s="46">
        <v>0.15</v>
      </c>
      <c r="N34" s="51">
        <v>0.2</v>
      </c>
      <c r="O34" s="46">
        <v>0.2</v>
      </c>
      <c r="P34" s="53">
        <v>0.2</v>
      </c>
      <c r="Q34" s="54">
        <v>0.2</v>
      </c>
      <c r="R34" s="55">
        <v>0.2</v>
      </c>
      <c r="S34" s="45" t="s">
        <v>1513</v>
      </c>
      <c r="T34" s="45" t="s">
        <v>1514</v>
      </c>
      <c r="U34" s="45" t="s">
        <v>1515</v>
      </c>
      <c r="V34" s="72" t="s">
        <v>1516</v>
      </c>
      <c r="W34" s="35">
        <v>1</v>
      </c>
      <c r="X34" s="40"/>
      <c r="Y34" s="9"/>
      <c r="Z34" s="36" t="s">
        <v>844</v>
      </c>
      <c r="AA34" s="40"/>
      <c r="AB34" s="72" t="s">
        <v>1517</v>
      </c>
      <c r="AC34" s="270" t="s">
        <v>1518</v>
      </c>
      <c r="AD34" s="270" t="s">
        <v>1519</v>
      </c>
      <c r="AE34" s="72" t="s">
        <v>1520</v>
      </c>
      <c r="AF34" s="147">
        <v>1</v>
      </c>
      <c r="AG34" s="45"/>
      <c r="AH34" s="45" t="s">
        <v>1521</v>
      </c>
      <c r="AI34" s="45"/>
      <c r="AJ34" s="45"/>
    </row>
    <row r="35" spans="1:36" s="87" customFormat="1" ht="230.25" customHeight="1" x14ac:dyDescent="0.25">
      <c r="A35" s="38"/>
      <c r="B35" s="38"/>
      <c r="C35" s="38"/>
      <c r="D35" s="38"/>
      <c r="E35" s="38"/>
      <c r="F35" s="38"/>
      <c r="G35" s="43" t="s">
        <v>1344</v>
      </c>
      <c r="H35" s="157"/>
      <c r="I35" s="157"/>
      <c r="J35" s="44"/>
      <c r="K35" s="45" t="s">
        <v>1522</v>
      </c>
      <c r="L35" s="196" t="s">
        <v>1523</v>
      </c>
      <c r="M35" s="46">
        <v>0.15</v>
      </c>
      <c r="N35" s="51">
        <v>0.2</v>
      </c>
      <c r="O35" s="52">
        <v>0.2</v>
      </c>
      <c r="P35" s="53">
        <v>0.2</v>
      </c>
      <c r="Q35" s="54">
        <v>0.2</v>
      </c>
      <c r="R35" s="55">
        <v>0.2</v>
      </c>
      <c r="S35" s="45" t="s">
        <v>1524</v>
      </c>
      <c r="T35" s="45"/>
      <c r="U35" s="45" t="s">
        <v>1525</v>
      </c>
      <c r="V35" s="311" t="s">
        <v>1526</v>
      </c>
      <c r="W35" s="35">
        <v>1</v>
      </c>
      <c r="X35" s="40"/>
      <c r="Y35" s="195" t="s">
        <v>1527</v>
      </c>
      <c r="Z35" s="35">
        <v>1</v>
      </c>
      <c r="AA35" s="40"/>
      <c r="AB35" s="72" t="s">
        <v>1528</v>
      </c>
      <c r="AC35" s="72" t="s">
        <v>84</v>
      </c>
      <c r="AD35" s="38"/>
      <c r="AE35" s="72" t="s">
        <v>1528</v>
      </c>
      <c r="AF35" s="147">
        <v>1</v>
      </c>
      <c r="AG35" s="45"/>
      <c r="AH35" s="45" t="s">
        <v>1529</v>
      </c>
      <c r="AI35" s="45"/>
      <c r="AJ35" s="45"/>
    </row>
    <row r="36" spans="1:36" s="87" customFormat="1" ht="252.75" customHeight="1" x14ac:dyDescent="0.25">
      <c r="A36" s="38"/>
      <c r="B36" s="38"/>
      <c r="C36" s="38"/>
      <c r="D36" s="38"/>
      <c r="E36" s="38"/>
      <c r="F36" s="38"/>
      <c r="G36" s="43" t="s">
        <v>1344</v>
      </c>
      <c r="H36" s="157"/>
      <c r="I36" s="157"/>
      <c r="J36" s="44"/>
      <c r="K36" s="45" t="s">
        <v>1530</v>
      </c>
      <c r="L36" s="45" t="s">
        <v>1531</v>
      </c>
      <c r="M36" s="46">
        <v>0.15</v>
      </c>
      <c r="N36" s="51">
        <v>0.2</v>
      </c>
      <c r="O36" s="52">
        <v>0.2</v>
      </c>
      <c r="P36" s="53">
        <v>0.2</v>
      </c>
      <c r="Q36" s="54">
        <v>0.2</v>
      </c>
      <c r="R36" s="55">
        <v>0.2</v>
      </c>
      <c r="S36" s="45" t="s">
        <v>1532</v>
      </c>
      <c r="T36" s="45"/>
      <c r="U36" s="45" t="s">
        <v>1533</v>
      </c>
      <c r="V36" s="311" t="s">
        <v>1534</v>
      </c>
      <c r="W36" s="35">
        <v>1</v>
      </c>
      <c r="X36" s="40"/>
      <c r="Y36" s="195" t="s">
        <v>1535</v>
      </c>
      <c r="Z36" s="35">
        <v>1</v>
      </c>
      <c r="AA36" s="40"/>
      <c r="AB36" s="72" t="s">
        <v>1536</v>
      </c>
      <c r="AC36" s="90" t="s">
        <v>84</v>
      </c>
      <c r="AD36" s="38"/>
      <c r="AE36" s="72" t="s">
        <v>1536</v>
      </c>
      <c r="AF36" s="147">
        <v>1</v>
      </c>
      <c r="AG36" s="45"/>
      <c r="AH36" s="45" t="s">
        <v>1537</v>
      </c>
      <c r="AI36" s="45"/>
      <c r="AJ36" s="45"/>
    </row>
    <row r="37" spans="1:36" s="87" customFormat="1" ht="180" hidden="1" x14ac:dyDescent="0.25">
      <c r="A37" s="38"/>
      <c r="B37" s="38"/>
      <c r="C37" s="38"/>
      <c r="D37" s="38"/>
      <c r="E37" s="38"/>
      <c r="F37" s="38"/>
      <c r="G37" s="43" t="s">
        <v>1344</v>
      </c>
      <c r="H37" s="157"/>
      <c r="I37" s="157"/>
      <c r="J37" s="44"/>
      <c r="K37" s="157" t="s">
        <v>1538</v>
      </c>
      <c r="L37" s="45" t="s">
        <v>1539</v>
      </c>
      <c r="M37" s="46">
        <v>0.15</v>
      </c>
      <c r="N37" s="46">
        <v>1</v>
      </c>
      <c r="O37" s="52"/>
      <c r="P37" s="46"/>
      <c r="Q37" s="46"/>
      <c r="R37" s="46"/>
      <c r="S37" s="196" t="s">
        <v>1540</v>
      </c>
      <c r="T37" s="45"/>
      <c r="U37" s="384" t="s">
        <v>1541</v>
      </c>
      <c r="V37" s="196" t="s">
        <v>1542</v>
      </c>
      <c r="W37" s="35">
        <v>1</v>
      </c>
      <c r="X37" s="40"/>
      <c r="Y37" s="72" t="s">
        <v>1543</v>
      </c>
      <c r="Z37" s="35">
        <v>1</v>
      </c>
      <c r="AA37" s="40"/>
      <c r="AB37" s="72" t="s">
        <v>1543</v>
      </c>
      <c r="AC37" s="38"/>
      <c r="AD37" s="38"/>
      <c r="AE37" s="45"/>
      <c r="AF37" s="147"/>
      <c r="AG37" s="45"/>
      <c r="AH37" s="45"/>
      <c r="AI37" s="45"/>
      <c r="AJ37" s="45"/>
    </row>
    <row r="38" spans="1:36" s="87" customFormat="1" ht="201" customHeight="1" x14ac:dyDescent="0.25">
      <c r="A38" s="38"/>
      <c r="B38" s="38"/>
      <c r="C38" s="38"/>
      <c r="D38" s="38"/>
      <c r="E38" s="38"/>
      <c r="F38" s="38"/>
      <c r="G38" s="43" t="s">
        <v>1344</v>
      </c>
      <c r="H38" s="157"/>
      <c r="I38" s="157"/>
      <c r="J38" s="44"/>
      <c r="K38" s="157" t="s">
        <v>1544</v>
      </c>
      <c r="L38" s="157" t="s">
        <v>1545</v>
      </c>
      <c r="M38" s="46">
        <v>0.1</v>
      </c>
      <c r="N38" s="46">
        <v>0.2</v>
      </c>
      <c r="O38" s="46">
        <v>0.2</v>
      </c>
      <c r="P38" s="53">
        <v>0.2</v>
      </c>
      <c r="Q38" s="54">
        <v>0.2</v>
      </c>
      <c r="R38" s="55">
        <v>0.2</v>
      </c>
      <c r="S38" s="196" t="s">
        <v>1540</v>
      </c>
      <c r="T38" s="196" t="s">
        <v>1546</v>
      </c>
      <c r="U38" s="386"/>
      <c r="V38" s="196" t="s">
        <v>1547</v>
      </c>
      <c r="W38" s="35">
        <v>1</v>
      </c>
      <c r="X38" s="40"/>
      <c r="Y38" s="9"/>
      <c r="Z38" s="36" t="s">
        <v>844</v>
      </c>
      <c r="AA38" s="40"/>
      <c r="AB38" s="90" t="s">
        <v>1548</v>
      </c>
      <c r="AC38" s="90" t="s">
        <v>84</v>
      </c>
      <c r="AD38" s="38"/>
      <c r="AE38" s="45" t="s">
        <v>1549</v>
      </c>
      <c r="AF38" s="147">
        <v>0.75</v>
      </c>
      <c r="AG38" s="296" t="s">
        <v>1550</v>
      </c>
      <c r="AH38" s="58" t="s">
        <v>1551</v>
      </c>
      <c r="AI38" s="45"/>
      <c r="AJ38" s="45"/>
    </row>
    <row r="39" spans="1:36" s="87" customFormat="1" ht="360" hidden="1" x14ac:dyDescent="0.25">
      <c r="A39" s="38"/>
      <c r="B39" s="38"/>
      <c r="C39" s="38"/>
      <c r="D39" s="38"/>
      <c r="E39" s="38"/>
      <c r="F39" s="38"/>
      <c r="G39" s="43" t="s">
        <v>1344</v>
      </c>
      <c r="H39" s="157"/>
      <c r="I39" s="157"/>
      <c r="J39" s="49" t="s">
        <v>1552</v>
      </c>
      <c r="K39" s="45" t="s">
        <v>1553</v>
      </c>
      <c r="L39" s="45" t="s">
        <v>665</v>
      </c>
      <c r="M39" s="46">
        <v>1</v>
      </c>
      <c r="N39" s="51">
        <v>1</v>
      </c>
      <c r="O39" s="46"/>
      <c r="P39" s="46"/>
      <c r="Q39" s="46"/>
      <c r="R39" s="46"/>
      <c r="S39" s="520" t="s">
        <v>1554</v>
      </c>
      <c r="T39" s="520" t="s">
        <v>1555</v>
      </c>
      <c r="U39" s="45" t="s">
        <v>1556</v>
      </c>
      <c r="V39" s="72" t="s">
        <v>1557</v>
      </c>
      <c r="W39" s="35">
        <v>1</v>
      </c>
      <c r="X39" s="40"/>
      <c r="Y39" s="40"/>
      <c r="Z39" s="40"/>
      <c r="AA39" s="40"/>
      <c r="AB39" s="40"/>
      <c r="AC39" s="38"/>
      <c r="AD39" s="38"/>
      <c r="AE39" s="45"/>
      <c r="AF39" s="147"/>
      <c r="AG39" s="45"/>
      <c r="AH39" s="45"/>
      <c r="AI39" s="45"/>
      <c r="AJ39" s="45"/>
    </row>
    <row r="40" spans="1:36" s="87" customFormat="1" ht="343.5" customHeight="1" x14ac:dyDescent="0.25">
      <c r="A40" s="38"/>
      <c r="B40" s="38"/>
      <c r="C40" s="38"/>
      <c r="D40" s="38"/>
      <c r="E40" s="38"/>
      <c r="F40" s="38"/>
      <c r="G40" s="43" t="s">
        <v>1344</v>
      </c>
      <c r="H40" s="157"/>
      <c r="I40" s="157"/>
      <c r="J40" s="49" t="s">
        <v>1558</v>
      </c>
      <c r="K40" s="45" t="s">
        <v>1559</v>
      </c>
      <c r="L40" s="45" t="s">
        <v>1560</v>
      </c>
      <c r="M40" s="46">
        <v>1</v>
      </c>
      <c r="N40" s="51">
        <v>0.2</v>
      </c>
      <c r="O40" s="52">
        <v>0.2</v>
      </c>
      <c r="P40" s="53">
        <v>0.2</v>
      </c>
      <c r="Q40" s="54">
        <v>0.2</v>
      </c>
      <c r="R40" s="55">
        <v>0.2</v>
      </c>
      <c r="S40" s="386"/>
      <c r="T40" s="386"/>
      <c r="U40" s="45" t="s">
        <v>1561</v>
      </c>
      <c r="V40" s="72" t="s">
        <v>1562</v>
      </c>
      <c r="W40" s="35">
        <v>0.9</v>
      </c>
      <c r="X40" s="72" t="s">
        <v>1563</v>
      </c>
      <c r="Y40" s="195" t="s">
        <v>1564</v>
      </c>
      <c r="Z40" s="35">
        <v>1</v>
      </c>
      <c r="AA40" s="40"/>
      <c r="AB40" s="195" t="s">
        <v>1565</v>
      </c>
      <c r="AC40" s="90" t="s">
        <v>84</v>
      </c>
      <c r="AD40" s="38"/>
      <c r="AE40" s="45" t="s">
        <v>1566</v>
      </c>
      <c r="AF40" s="147">
        <v>1</v>
      </c>
      <c r="AG40" s="45"/>
      <c r="AH40" s="45" t="s">
        <v>1567</v>
      </c>
      <c r="AI40" s="45"/>
      <c r="AJ40" s="45"/>
    </row>
    <row r="41" spans="1:36" s="87" customFormat="1" ht="226.5" customHeight="1" x14ac:dyDescent="0.25">
      <c r="A41" s="38"/>
      <c r="B41" s="38"/>
      <c r="C41" s="38"/>
      <c r="D41" s="38"/>
      <c r="E41" s="38"/>
      <c r="F41" s="38"/>
      <c r="G41" s="43" t="s">
        <v>1344</v>
      </c>
      <c r="H41" s="157"/>
      <c r="I41" s="157"/>
      <c r="J41" s="49" t="s">
        <v>1568</v>
      </c>
      <c r="K41" s="45" t="s">
        <v>1569</v>
      </c>
      <c r="L41" s="45" t="s">
        <v>1570</v>
      </c>
      <c r="M41" s="46">
        <v>1</v>
      </c>
      <c r="N41" s="51">
        <v>0.2</v>
      </c>
      <c r="O41" s="52">
        <v>0.2</v>
      </c>
      <c r="P41" s="53">
        <v>0.2</v>
      </c>
      <c r="Q41" s="54">
        <v>0.2</v>
      </c>
      <c r="R41" s="55">
        <v>0.2</v>
      </c>
      <c r="S41" s="196" t="s">
        <v>1571</v>
      </c>
      <c r="T41" s="196" t="s">
        <v>1572</v>
      </c>
      <c r="U41" s="45" t="s">
        <v>1573</v>
      </c>
      <c r="V41" s="72" t="s">
        <v>1574</v>
      </c>
      <c r="W41" s="107">
        <v>1</v>
      </c>
      <c r="X41" s="40"/>
      <c r="Y41" s="195" t="s">
        <v>1575</v>
      </c>
      <c r="Z41" s="35">
        <v>1</v>
      </c>
      <c r="AA41" s="40"/>
      <c r="AB41" s="195" t="s">
        <v>1576</v>
      </c>
      <c r="AC41" s="72" t="s">
        <v>84</v>
      </c>
      <c r="AD41" s="38"/>
      <c r="AE41" s="196" t="s">
        <v>1577</v>
      </c>
      <c r="AF41" s="147">
        <v>1</v>
      </c>
      <c r="AG41" s="45"/>
      <c r="AH41" s="45" t="s">
        <v>1578</v>
      </c>
      <c r="AI41" s="45"/>
      <c r="AJ41" s="45"/>
    </row>
    <row r="42" spans="1:36" s="87" customFormat="1" ht="150" hidden="1" x14ac:dyDescent="0.25">
      <c r="A42" s="38"/>
      <c r="B42" s="38"/>
      <c r="C42" s="38"/>
      <c r="D42" s="38"/>
      <c r="E42" s="38"/>
      <c r="F42" s="38"/>
      <c r="G42" s="43" t="s">
        <v>1344</v>
      </c>
      <c r="H42" s="157"/>
      <c r="I42" s="157"/>
      <c r="J42" s="393" t="s">
        <v>1579</v>
      </c>
      <c r="K42" s="45" t="s">
        <v>1580</v>
      </c>
      <c r="L42" s="45" t="s">
        <v>1581</v>
      </c>
      <c r="M42" s="46">
        <v>0.25</v>
      </c>
      <c r="N42" s="51">
        <v>1</v>
      </c>
      <c r="O42" s="46"/>
      <c r="P42" s="46"/>
      <c r="Q42" s="46"/>
      <c r="R42" s="46"/>
      <c r="S42" s="520" t="s">
        <v>1582</v>
      </c>
      <c r="T42" s="520" t="s">
        <v>1583</v>
      </c>
      <c r="U42" s="520" t="s">
        <v>1584</v>
      </c>
      <c r="V42" s="72" t="s">
        <v>1585</v>
      </c>
      <c r="W42" s="35">
        <v>1</v>
      </c>
      <c r="X42" s="40"/>
      <c r="Y42" s="40"/>
      <c r="Z42" s="40"/>
      <c r="AA42" s="40"/>
      <c r="AB42" s="40"/>
      <c r="AC42" s="38"/>
      <c r="AD42" s="38"/>
      <c r="AE42" s="45"/>
      <c r="AF42" s="147"/>
      <c r="AG42" s="45"/>
      <c r="AH42" s="45"/>
      <c r="AI42" s="45"/>
      <c r="AJ42" s="45"/>
    </row>
    <row r="43" spans="1:36" s="87" customFormat="1" ht="156.75" customHeight="1" x14ac:dyDescent="0.25">
      <c r="A43" s="38"/>
      <c r="B43" s="38"/>
      <c r="C43" s="38"/>
      <c r="D43" s="38"/>
      <c r="E43" s="38"/>
      <c r="F43" s="38"/>
      <c r="G43" s="43" t="s">
        <v>1344</v>
      </c>
      <c r="H43" s="157"/>
      <c r="I43" s="157"/>
      <c r="J43" s="394"/>
      <c r="K43" s="45" t="s">
        <v>1586</v>
      </c>
      <c r="L43" s="45" t="s">
        <v>1587</v>
      </c>
      <c r="M43" s="46">
        <v>0.25</v>
      </c>
      <c r="N43" s="51">
        <v>0.2</v>
      </c>
      <c r="O43" s="52">
        <v>0.2</v>
      </c>
      <c r="P43" s="53">
        <v>0.2</v>
      </c>
      <c r="Q43" s="54">
        <v>0.2</v>
      </c>
      <c r="R43" s="55">
        <v>0.2</v>
      </c>
      <c r="S43" s="385"/>
      <c r="T43" s="386"/>
      <c r="U43" s="386"/>
      <c r="V43" s="72" t="s">
        <v>1588</v>
      </c>
      <c r="W43" s="35">
        <v>1</v>
      </c>
      <c r="X43" s="40"/>
      <c r="Y43" s="72" t="s">
        <v>1589</v>
      </c>
      <c r="Z43" s="35">
        <v>1</v>
      </c>
      <c r="AA43" s="40"/>
      <c r="AB43" s="72" t="s">
        <v>1590</v>
      </c>
      <c r="AC43" s="72" t="s">
        <v>84</v>
      </c>
      <c r="AD43" s="38"/>
      <c r="AE43" s="72" t="s">
        <v>1590</v>
      </c>
      <c r="AF43" s="147">
        <v>1</v>
      </c>
      <c r="AG43" s="45"/>
      <c r="AH43" s="45" t="s">
        <v>1590</v>
      </c>
      <c r="AI43" s="45"/>
      <c r="AJ43" s="45"/>
    </row>
    <row r="44" spans="1:36" s="87" customFormat="1" ht="216.75" hidden="1" customHeight="1" x14ac:dyDescent="0.25">
      <c r="A44" s="38"/>
      <c r="B44" s="38"/>
      <c r="C44" s="38"/>
      <c r="D44" s="38"/>
      <c r="E44" s="38"/>
      <c r="F44" s="38"/>
      <c r="G44" s="43" t="s">
        <v>1344</v>
      </c>
      <c r="H44" s="157"/>
      <c r="I44" s="157"/>
      <c r="J44" s="394"/>
      <c r="K44" s="45" t="s">
        <v>1591</v>
      </c>
      <c r="L44" s="45" t="s">
        <v>1592</v>
      </c>
      <c r="M44" s="46">
        <v>0.25</v>
      </c>
      <c r="N44" s="51">
        <v>1</v>
      </c>
      <c r="O44" s="52"/>
      <c r="P44" s="46"/>
      <c r="Q44" s="46"/>
      <c r="R44" s="46"/>
      <c r="S44" s="386"/>
      <c r="T44" s="25" t="s">
        <v>1593</v>
      </c>
      <c r="U44" s="384" t="s">
        <v>1594</v>
      </c>
      <c r="V44" s="72" t="s">
        <v>1595</v>
      </c>
      <c r="W44" s="35">
        <v>1</v>
      </c>
      <c r="X44" s="40"/>
      <c r="Y44" s="72" t="s">
        <v>1596</v>
      </c>
      <c r="Z44" s="35">
        <v>1</v>
      </c>
      <c r="AA44" s="40"/>
      <c r="AB44" s="40"/>
      <c r="AC44" s="38"/>
      <c r="AD44" s="38"/>
      <c r="AE44" s="45"/>
      <c r="AF44" s="147"/>
      <c r="AG44" s="45"/>
      <c r="AH44" s="45"/>
      <c r="AI44" s="45"/>
      <c r="AJ44" s="45"/>
    </row>
    <row r="45" spans="1:36" s="87" customFormat="1" ht="126" customHeight="1" x14ac:dyDescent="0.25">
      <c r="A45" s="38"/>
      <c r="B45" s="38"/>
      <c r="C45" s="38"/>
      <c r="D45" s="38"/>
      <c r="E45" s="38"/>
      <c r="F45" s="38"/>
      <c r="G45" s="43" t="s">
        <v>1344</v>
      </c>
      <c r="H45" s="157"/>
      <c r="I45" s="157"/>
      <c r="J45" s="395"/>
      <c r="K45" s="45" t="s">
        <v>1597</v>
      </c>
      <c r="L45" s="45" t="s">
        <v>1598</v>
      </c>
      <c r="M45" s="46">
        <v>0.25</v>
      </c>
      <c r="N45" s="46">
        <v>0.2</v>
      </c>
      <c r="O45" s="52">
        <v>0.2</v>
      </c>
      <c r="P45" s="53">
        <v>0.2</v>
      </c>
      <c r="Q45" s="54">
        <v>0.2</v>
      </c>
      <c r="R45" s="55">
        <v>0.2</v>
      </c>
      <c r="S45" s="25" t="s">
        <v>1582</v>
      </c>
      <c r="T45" s="25" t="s">
        <v>1593</v>
      </c>
      <c r="U45" s="386"/>
      <c r="V45" s="25" t="s">
        <v>1599</v>
      </c>
      <c r="W45" s="35">
        <v>1</v>
      </c>
      <c r="X45" s="40"/>
      <c r="Y45" s="72" t="s">
        <v>1596</v>
      </c>
      <c r="Z45" s="35">
        <v>1</v>
      </c>
      <c r="AA45" s="40"/>
      <c r="AB45" s="72" t="s">
        <v>1600</v>
      </c>
      <c r="AC45" s="213" t="s">
        <v>84</v>
      </c>
      <c r="AD45" s="38"/>
      <c r="AE45" s="45" t="s">
        <v>1601</v>
      </c>
      <c r="AF45" s="147">
        <v>1</v>
      </c>
      <c r="AG45" s="45"/>
      <c r="AH45" s="45" t="s">
        <v>1600</v>
      </c>
      <c r="AI45" s="45"/>
      <c r="AJ45" s="45"/>
    </row>
    <row r="46" spans="1:36" s="87" customFormat="1" ht="150" hidden="1" x14ac:dyDescent="0.25">
      <c r="A46" s="38"/>
      <c r="B46" s="38"/>
      <c r="C46" s="38"/>
      <c r="D46" s="38"/>
      <c r="E46" s="38"/>
      <c r="F46" s="38"/>
      <c r="G46" s="43" t="s">
        <v>1344</v>
      </c>
      <c r="H46" s="157"/>
      <c r="I46" s="157"/>
      <c r="J46" s="49" t="s">
        <v>1602</v>
      </c>
      <c r="K46" s="45" t="s">
        <v>1603</v>
      </c>
      <c r="L46" s="45" t="s">
        <v>1604</v>
      </c>
      <c r="M46" s="46">
        <v>0.5</v>
      </c>
      <c r="N46" s="51">
        <v>1</v>
      </c>
      <c r="O46" s="46"/>
      <c r="P46" s="46"/>
      <c r="Q46" s="46"/>
      <c r="R46" s="46"/>
      <c r="S46" s="384" t="s">
        <v>1605</v>
      </c>
      <c r="T46" s="384" t="s">
        <v>1606</v>
      </c>
      <c r="U46" s="384" t="s">
        <v>1607</v>
      </c>
      <c r="V46" s="72" t="s">
        <v>1534</v>
      </c>
      <c r="W46" s="35">
        <v>1</v>
      </c>
      <c r="X46" s="40"/>
      <c r="Y46" s="40"/>
      <c r="Z46" s="40"/>
      <c r="AA46" s="40"/>
      <c r="AB46" s="40"/>
      <c r="AC46" s="38"/>
      <c r="AD46" s="38"/>
      <c r="AE46" s="45"/>
      <c r="AF46" s="147"/>
      <c r="AG46" s="45"/>
      <c r="AH46" s="45"/>
      <c r="AI46" s="45"/>
      <c r="AJ46" s="45"/>
    </row>
    <row r="47" spans="1:36" s="87" customFormat="1" ht="76.5" customHeight="1" x14ac:dyDescent="0.25">
      <c r="A47" s="38"/>
      <c r="B47" s="38"/>
      <c r="C47" s="38"/>
      <c r="D47" s="38"/>
      <c r="E47" s="38"/>
      <c r="F47" s="38"/>
      <c r="G47" s="43" t="s">
        <v>1344</v>
      </c>
      <c r="H47" s="157"/>
      <c r="I47" s="157"/>
      <c r="J47" s="295"/>
      <c r="K47" s="45" t="s">
        <v>1608</v>
      </c>
      <c r="L47" s="45" t="s">
        <v>1609</v>
      </c>
      <c r="M47" s="46">
        <v>0.5</v>
      </c>
      <c r="N47" s="46"/>
      <c r="O47" s="46">
        <v>0.25</v>
      </c>
      <c r="P47" s="53">
        <v>0.25</v>
      </c>
      <c r="Q47" s="54">
        <v>0.25</v>
      </c>
      <c r="R47" s="55">
        <v>0.25</v>
      </c>
      <c r="S47" s="386"/>
      <c r="T47" s="386"/>
      <c r="U47" s="386"/>
      <c r="V47" s="39"/>
      <c r="W47" s="35"/>
      <c r="X47" s="40"/>
      <c r="Y47" s="9"/>
      <c r="Z47" s="36" t="s">
        <v>844</v>
      </c>
      <c r="AA47" s="40"/>
      <c r="AB47" s="72" t="s">
        <v>1610</v>
      </c>
      <c r="AC47" s="90" t="s">
        <v>84</v>
      </c>
      <c r="AD47" s="38"/>
      <c r="AE47" s="45" t="s">
        <v>1611</v>
      </c>
      <c r="AF47" s="147">
        <v>1</v>
      </c>
      <c r="AG47" s="45"/>
      <c r="AH47" s="45" t="s">
        <v>1611</v>
      </c>
      <c r="AI47" s="45"/>
      <c r="AJ47" s="45"/>
    </row>
    <row r="48" spans="1:36" s="87" customFormat="1" ht="112.5" customHeight="1" x14ac:dyDescent="0.25">
      <c r="A48" s="38"/>
      <c r="B48" s="38"/>
      <c r="C48" s="38"/>
      <c r="D48" s="38"/>
      <c r="E48" s="38"/>
      <c r="F48" s="38"/>
      <c r="G48" s="43" t="s">
        <v>1344</v>
      </c>
      <c r="H48" s="157"/>
      <c r="I48" s="157"/>
      <c r="J48" s="49" t="s">
        <v>1612</v>
      </c>
      <c r="K48" s="45" t="s">
        <v>1613</v>
      </c>
      <c r="L48" s="45" t="s">
        <v>1614</v>
      </c>
      <c r="M48" s="46">
        <v>1</v>
      </c>
      <c r="N48" s="46">
        <v>0.2</v>
      </c>
      <c r="O48" s="52">
        <v>0.2</v>
      </c>
      <c r="P48" s="53">
        <v>0.2</v>
      </c>
      <c r="Q48" s="54">
        <v>0.2</v>
      </c>
      <c r="R48" s="55">
        <v>0.2</v>
      </c>
      <c r="S48" s="25" t="s">
        <v>1377</v>
      </c>
      <c r="T48" s="25" t="s">
        <v>1615</v>
      </c>
      <c r="U48" s="312" t="s">
        <v>1616</v>
      </c>
      <c r="V48" s="202"/>
      <c r="W48" s="35">
        <v>1</v>
      </c>
      <c r="X48" s="40"/>
      <c r="Y48" s="72" t="s">
        <v>1617</v>
      </c>
      <c r="Z48" s="35">
        <v>1</v>
      </c>
      <c r="AA48" s="40"/>
      <c r="AB48" s="72" t="s">
        <v>1618</v>
      </c>
      <c r="AC48" s="267" t="s">
        <v>1619</v>
      </c>
      <c r="AD48" s="267" t="s">
        <v>1620</v>
      </c>
      <c r="AE48" s="72" t="s">
        <v>1618</v>
      </c>
      <c r="AF48" s="147">
        <v>1</v>
      </c>
      <c r="AG48" s="45"/>
      <c r="AH48" s="45" t="s">
        <v>1618</v>
      </c>
      <c r="AI48" s="45"/>
      <c r="AJ48" s="45"/>
    </row>
    <row r="49" spans="1:36" s="87" customFormat="1" ht="166.5" customHeight="1" x14ac:dyDescent="0.25">
      <c r="A49" s="38"/>
      <c r="B49" s="38"/>
      <c r="C49" s="38"/>
      <c r="D49" s="38"/>
      <c r="E49" s="38"/>
      <c r="F49" s="38"/>
      <c r="G49" s="43" t="s">
        <v>1344</v>
      </c>
      <c r="H49" s="157"/>
      <c r="I49" s="157"/>
      <c r="J49" s="295" t="s">
        <v>1621</v>
      </c>
      <c r="K49" s="45" t="s">
        <v>1622</v>
      </c>
      <c r="L49" s="45" t="s">
        <v>1623</v>
      </c>
      <c r="M49" s="46">
        <v>0.5</v>
      </c>
      <c r="N49" s="51">
        <v>0.2</v>
      </c>
      <c r="O49" s="52">
        <v>0.2</v>
      </c>
      <c r="P49" s="53">
        <v>0.2</v>
      </c>
      <c r="Q49" s="54">
        <v>0.2</v>
      </c>
      <c r="R49" s="55">
        <v>0.2</v>
      </c>
      <c r="S49" s="25" t="s">
        <v>1624</v>
      </c>
      <c r="T49" s="25"/>
      <c r="U49" s="384" t="s">
        <v>1625</v>
      </c>
      <c r="V49" s="72" t="s">
        <v>1626</v>
      </c>
      <c r="W49" s="35">
        <v>1</v>
      </c>
      <c r="X49" s="40"/>
      <c r="Y49" s="72" t="s">
        <v>1627</v>
      </c>
      <c r="Z49" s="35">
        <v>1</v>
      </c>
      <c r="AA49" s="40"/>
      <c r="AB49" s="90" t="s">
        <v>1628</v>
      </c>
      <c r="AC49" s="90" t="s">
        <v>84</v>
      </c>
      <c r="AD49" s="38"/>
      <c r="AE49" s="45" t="s">
        <v>1628</v>
      </c>
      <c r="AF49" s="147">
        <v>1</v>
      </c>
      <c r="AG49" s="45"/>
      <c r="AH49" s="45" t="s">
        <v>1628</v>
      </c>
      <c r="AI49" s="45"/>
      <c r="AJ49" s="45"/>
    </row>
    <row r="50" spans="1:36" s="87" customFormat="1" ht="82.5" customHeight="1" x14ac:dyDescent="0.25">
      <c r="A50" s="38"/>
      <c r="B50" s="38"/>
      <c r="C50" s="38"/>
      <c r="D50" s="38"/>
      <c r="E50" s="38"/>
      <c r="F50" s="38"/>
      <c r="G50" s="43" t="s">
        <v>1344</v>
      </c>
      <c r="H50" s="157"/>
      <c r="I50" s="157"/>
      <c r="J50" s="44"/>
      <c r="K50" s="45" t="s">
        <v>1629</v>
      </c>
      <c r="L50" s="45" t="s">
        <v>1630</v>
      </c>
      <c r="M50" s="46">
        <v>0.5</v>
      </c>
      <c r="N50" s="51">
        <v>0.2</v>
      </c>
      <c r="O50" s="52">
        <v>0.2</v>
      </c>
      <c r="P50" s="53">
        <v>0.2</v>
      </c>
      <c r="Q50" s="54">
        <v>0.2</v>
      </c>
      <c r="R50" s="55">
        <v>0.2</v>
      </c>
      <c r="S50" s="25" t="s">
        <v>1631</v>
      </c>
      <c r="T50" s="25" t="s">
        <v>1025</v>
      </c>
      <c r="U50" s="386"/>
      <c r="V50" s="72" t="s">
        <v>1632</v>
      </c>
      <c r="W50" s="107">
        <v>0</v>
      </c>
      <c r="X50" s="72" t="s">
        <v>1633</v>
      </c>
      <c r="Y50" s="72" t="s">
        <v>1634</v>
      </c>
      <c r="Z50" s="35">
        <v>1</v>
      </c>
      <c r="AA50" s="40"/>
      <c r="AB50" s="90" t="s">
        <v>1635</v>
      </c>
      <c r="AC50" s="90" t="s">
        <v>84</v>
      </c>
      <c r="AD50" s="38"/>
      <c r="AE50" s="45" t="s">
        <v>1635</v>
      </c>
      <c r="AF50" s="147">
        <v>1</v>
      </c>
      <c r="AG50" s="45"/>
      <c r="AH50" s="45" t="s">
        <v>1635</v>
      </c>
      <c r="AI50" s="45"/>
      <c r="AJ50" s="45"/>
    </row>
    <row r="51" spans="1:36" s="87" customFormat="1" ht="165" x14ac:dyDescent="0.25">
      <c r="A51" s="38"/>
      <c r="B51" s="38"/>
      <c r="C51" s="38"/>
      <c r="D51" s="38"/>
      <c r="E51" s="38"/>
      <c r="F51" s="38"/>
      <c r="G51" s="43" t="s">
        <v>1344</v>
      </c>
      <c r="H51" s="157"/>
      <c r="I51" s="157"/>
      <c r="J51" s="45" t="s">
        <v>1636</v>
      </c>
      <c r="K51" s="45" t="s">
        <v>1637</v>
      </c>
      <c r="L51" s="45" t="s">
        <v>1638</v>
      </c>
      <c r="M51" s="46">
        <v>1</v>
      </c>
      <c r="N51" s="52"/>
      <c r="O51" s="46">
        <v>0.25</v>
      </c>
      <c r="P51" s="53">
        <v>0.25</v>
      </c>
      <c r="Q51" s="54">
        <v>0.25</v>
      </c>
      <c r="R51" s="55">
        <v>0.25</v>
      </c>
      <c r="S51" s="25" t="s">
        <v>1639</v>
      </c>
      <c r="T51" s="25"/>
      <c r="U51" s="25" t="s">
        <v>1640</v>
      </c>
      <c r="V51" s="39"/>
      <c r="W51" s="35"/>
      <c r="X51" s="40"/>
      <c r="Y51" s="9"/>
      <c r="Z51" s="107">
        <v>0</v>
      </c>
      <c r="AA51" s="201" t="s">
        <v>1641</v>
      </c>
      <c r="AB51" s="90" t="s">
        <v>1642</v>
      </c>
      <c r="AC51" s="313" t="s">
        <v>979</v>
      </c>
      <c r="AD51" s="313" t="s">
        <v>1643</v>
      </c>
      <c r="AE51" s="45" t="s">
        <v>1642</v>
      </c>
      <c r="AF51" s="147">
        <v>0</v>
      </c>
      <c r="AG51" s="296" t="s">
        <v>1644</v>
      </c>
      <c r="AH51" s="45" t="s">
        <v>1642</v>
      </c>
      <c r="AI51" s="45"/>
      <c r="AJ51" s="45"/>
    </row>
    <row r="52" spans="1:36" s="87" customFormat="1" ht="99.75" customHeight="1" x14ac:dyDescent="0.25">
      <c r="A52" s="38"/>
      <c r="B52" s="38"/>
      <c r="C52" s="38"/>
      <c r="D52" s="38"/>
      <c r="E52" s="38"/>
      <c r="F52" s="38"/>
      <c r="G52" s="43" t="s">
        <v>1344</v>
      </c>
      <c r="H52" s="157"/>
      <c r="I52" s="157"/>
      <c r="J52" s="49" t="s">
        <v>1645</v>
      </c>
      <c r="K52" s="45" t="s">
        <v>1646</v>
      </c>
      <c r="L52" s="45" t="s">
        <v>1647</v>
      </c>
      <c r="M52" s="46">
        <v>1</v>
      </c>
      <c r="N52" s="51">
        <v>0.2</v>
      </c>
      <c r="O52" s="52">
        <v>0.2</v>
      </c>
      <c r="P52" s="53">
        <v>0.2</v>
      </c>
      <c r="Q52" s="54">
        <v>0.2</v>
      </c>
      <c r="R52" s="55">
        <v>0.2</v>
      </c>
      <c r="S52" s="25" t="s">
        <v>1648</v>
      </c>
      <c r="T52" s="25" t="s">
        <v>1209</v>
      </c>
      <c r="U52" s="25" t="s">
        <v>1649</v>
      </c>
      <c r="V52" s="72" t="s">
        <v>1650</v>
      </c>
      <c r="W52" s="107">
        <v>1</v>
      </c>
      <c r="X52" s="72"/>
      <c r="Y52" s="72" t="s">
        <v>1651</v>
      </c>
      <c r="Z52" s="107">
        <v>0.75</v>
      </c>
      <c r="AA52" s="12"/>
      <c r="AB52" s="90" t="s">
        <v>1652</v>
      </c>
      <c r="AC52" s="90" t="s">
        <v>533</v>
      </c>
      <c r="AD52" s="38"/>
      <c r="AE52" s="45" t="s">
        <v>1652</v>
      </c>
      <c r="AF52" s="147">
        <v>1</v>
      </c>
      <c r="AG52" s="45"/>
      <c r="AH52" s="45" t="s">
        <v>1653</v>
      </c>
      <c r="AI52" s="45"/>
      <c r="AJ52" s="45"/>
    </row>
    <row r="53" spans="1:36" s="87" customFormat="1" ht="297.75" hidden="1" customHeight="1" x14ac:dyDescent="0.25">
      <c r="A53" s="38"/>
      <c r="B53" s="290" t="s">
        <v>1654</v>
      </c>
      <c r="C53" s="290" t="s">
        <v>1655</v>
      </c>
      <c r="D53" s="170">
        <v>40909</v>
      </c>
      <c r="E53" s="170">
        <v>42705</v>
      </c>
      <c r="F53" s="290" t="s">
        <v>511</v>
      </c>
      <c r="G53" s="43" t="s">
        <v>1344</v>
      </c>
      <c r="H53" s="45" t="s">
        <v>1656</v>
      </c>
      <c r="I53" s="157" t="s">
        <v>1657</v>
      </c>
      <c r="J53" s="301" t="s">
        <v>1658</v>
      </c>
      <c r="K53" s="157" t="s">
        <v>1659</v>
      </c>
      <c r="L53" s="157" t="s">
        <v>1413</v>
      </c>
      <c r="M53" s="46">
        <v>0.25</v>
      </c>
      <c r="N53" s="51">
        <v>1</v>
      </c>
      <c r="O53" s="86"/>
      <c r="P53" s="86"/>
      <c r="Q53" s="86"/>
      <c r="R53" s="86"/>
      <c r="S53" s="384" t="s">
        <v>1660</v>
      </c>
      <c r="T53" s="157" t="s">
        <v>1661</v>
      </c>
      <c r="U53" s="384" t="s">
        <v>1662</v>
      </c>
      <c r="V53" s="72" t="s">
        <v>1663</v>
      </c>
      <c r="W53" s="35">
        <v>0.5</v>
      </c>
      <c r="X53" s="314" t="s">
        <v>1664</v>
      </c>
      <c r="Y53" s="40"/>
      <c r="Z53" s="40"/>
      <c r="AA53" s="40"/>
      <c r="AB53" s="40"/>
      <c r="AC53" s="38"/>
      <c r="AD53" s="38"/>
      <c r="AE53" s="45"/>
      <c r="AF53" s="147"/>
      <c r="AG53" s="45"/>
      <c r="AH53" s="45"/>
      <c r="AI53" s="45"/>
      <c r="AJ53" s="45"/>
    </row>
    <row r="54" spans="1:36" s="87" customFormat="1" ht="92.25" hidden="1" customHeight="1" x14ac:dyDescent="0.25">
      <c r="A54" s="38"/>
      <c r="B54" s="38"/>
      <c r="C54" s="38"/>
      <c r="D54" s="38"/>
      <c r="E54" s="38"/>
      <c r="F54" s="38"/>
      <c r="G54" s="43" t="s">
        <v>1344</v>
      </c>
      <c r="H54" s="38"/>
      <c r="I54" s="38"/>
      <c r="J54" s="44"/>
      <c r="K54" s="157" t="s">
        <v>1665</v>
      </c>
      <c r="L54" s="157" t="s">
        <v>1419</v>
      </c>
      <c r="M54" s="46">
        <v>0.5</v>
      </c>
      <c r="N54" s="158"/>
      <c r="O54" s="46">
        <v>1</v>
      </c>
      <c r="P54" s="86"/>
      <c r="Q54" s="86"/>
      <c r="R54" s="86"/>
      <c r="S54" s="385"/>
      <c r="T54" s="157" t="s">
        <v>1661</v>
      </c>
      <c r="U54" s="385"/>
      <c r="V54" s="39"/>
      <c r="W54" s="35"/>
      <c r="X54" s="40"/>
      <c r="Y54" s="9"/>
      <c r="Z54" s="35">
        <v>0.5</v>
      </c>
      <c r="AA54" s="281" t="s">
        <v>1666</v>
      </c>
      <c r="AB54" s="40"/>
      <c r="AC54" s="38"/>
      <c r="AD54" s="45" t="s">
        <v>1667</v>
      </c>
      <c r="AE54" s="45"/>
      <c r="AF54" s="147"/>
      <c r="AG54" s="45"/>
      <c r="AH54" s="45"/>
      <c r="AI54" s="45"/>
      <c r="AJ54" s="45"/>
    </row>
    <row r="55" spans="1:36" s="87" customFormat="1" ht="81" customHeight="1" x14ac:dyDescent="0.25">
      <c r="A55" s="38"/>
      <c r="B55" s="38"/>
      <c r="C55" s="38"/>
      <c r="D55" s="38"/>
      <c r="E55" s="38"/>
      <c r="F55" s="38"/>
      <c r="G55" s="43" t="s">
        <v>1344</v>
      </c>
      <c r="H55" s="38"/>
      <c r="I55" s="38"/>
      <c r="J55" s="44"/>
      <c r="K55" s="45" t="s">
        <v>1668</v>
      </c>
      <c r="L55" s="300" t="s">
        <v>1669</v>
      </c>
      <c r="M55" s="46">
        <v>0.25</v>
      </c>
      <c r="N55" s="158"/>
      <c r="O55" s="46">
        <v>0.25</v>
      </c>
      <c r="P55" s="53">
        <v>0.25</v>
      </c>
      <c r="Q55" s="54">
        <v>0.25</v>
      </c>
      <c r="R55" s="55">
        <v>0.25</v>
      </c>
      <c r="S55" s="386"/>
      <c r="T55" s="157" t="s">
        <v>1661</v>
      </c>
      <c r="U55" s="386"/>
      <c r="V55" s="39"/>
      <c r="W55" s="35"/>
      <c r="X55" s="40"/>
      <c r="Y55" s="9"/>
      <c r="Z55" s="35">
        <v>0.5</v>
      </c>
      <c r="AA55" s="281" t="s">
        <v>1666</v>
      </c>
      <c r="AB55" s="45" t="s">
        <v>1670</v>
      </c>
      <c r="AC55" s="45" t="s">
        <v>84</v>
      </c>
      <c r="AD55" s="38"/>
      <c r="AE55" s="45" t="s">
        <v>1671</v>
      </c>
      <c r="AF55" s="45" t="s">
        <v>1672</v>
      </c>
      <c r="AG55" s="45"/>
      <c r="AH55" s="45" t="s">
        <v>1671</v>
      </c>
      <c r="AI55" s="45"/>
      <c r="AJ55" s="45"/>
    </row>
    <row r="56" spans="1:36" s="87" customFormat="1" ht="285" hidden="1" x14ac:dyDescent="0.25">
      <c r="A56" s="38"/>
      <c r="B56" s="38"/>
      <c r="C56" s="38"/>
      <c r="D56" s="38"/>
      <c r="E56" s="38"/>
      <c r="F56" s="38"/>
      <c r="G56" s="43" t="s">
        <v>1344</v>
      </c>
      <c r="H56" s="38"/>
      <c r="I56" s="38"/>
      <c r="J56" s="45" t="s">
        <v>1673</v>
      </c>
      <c r="K56" s="45" t="s">
        <v>1674</v>
      </c>
      <c r="L56" s="45" t="s">
        <v>197</v>
      </c>
      <c r="M56" s="46">
        <v>1</v>
      </c>
      <c r="N56" s="51">
        <v>1</v>
      </c>
      <c r="O56" s="86"/>
      <c r="P56" s="46"/>
      <c r="Q56" s="46"/>
      <c r="R56" s="86"/>
      <c r="S56" s="25" t="s">
        <v>1675</v>
      </c>
      <c r="T56" s="157" t="s">
        <v>1676</v>
      </c>
      <c r="U56" s="25" t="s">
        <v>1677</v>
      </c>
      <c r="V56" s="72" t="s">
        <v>1678</v>
      </c>
      <c r="W56" s="35">
        <v>0.5</v>
      </c>
      <c r="X56" s="314" t="s">
        <v>1664</v>
      </c>
      <c r="Y56" s="40" t="s">
        <v>503</v>
      </c>
      <c r="Z56" s="40"/>
      <c r="AA56" s="40"/>
      <c r="AB56" s="40"/>
      <c r="AC56" s="38"/>
      <c r="AD56" s="38"/>
      <c r="AE56" s="45"/>
      <c r="AF56" s="147"/>
      <c r="AG56" s="45"/>
      <c r="AH56" s="45"/>
      <c r="AI56" s="45"/>
      <c r="AJ56" s="45"/>
    </row>
    <row r="57" spans="1:36" s="87" customFormat="1" ht="300" hidden="1" x14ac:dyDescent="0.25">
      <c r="A57" s="38"/>
      <c r="B57" s="38"/>
      <c r="C57" s="38"/>
      <c r="D57" s="38"/>
      <c r="E57" s="38"/>
      <c r="F57" s="38"/>
      <c r="G57" s="43" t="s">
        <v>1344</v>
      </c>
      <c r="H57" s="38"/>
      <c r="I57" s="38"/>
      <c r="J57" s="45" t="s">
        <v>1679</v>
      </c>
      <c r="K57" s="45" t="s">
        <v>1680</v>
      </c>
      <c r="L57" s="45" t="s">
        <v>1681</v>
      </c>
      <c r="M57" s="46">
        <v>0.4</v>
      </c>
      <c r="N57" s="46">
        <v>1</v>
      </c>
      <c r="O57" s="86"/>
      <c r="P57" s="86"/>
      <c r="Q57" s="86"/>
      <c r="R57" s="86"/>
      <c r="S57" s="25" t="s">
        <v>1682</v>
      </c>
      <c r="T57" s="157" t="s">
        <v>1683</v>
      </c>
      <c r="U57" s="45" t="s">
        <v>1684</v>
      </c>
      <c r="V57" s="202"/>
      <c r="W57" s="35">
        <v>0.5</v>
      </c>
      <c r="X57" s="314" t="s">
        <v>1664</v>
      </c>
      <c r="Y57" s="40"/>
      <c r="Z57" s="40"/>
      <c r="AA57" s="40"/>
      <c r="AB57" s="40"/>
      <c r="AC57" s="38"/>
      <c r="AD57" s="38"/>
      <c r="AE57" s="45"/>
      <c r="AF57" s="147" t="s">
        <v>1685</v>
      </c>
      <c r="AG57" s="45"/>
      <c r="AH57" s="45"/>
      <c r="AI57" s="45"/>
      <c r="AJ57" s="45"/>
    </row>
    <row r="58" spans="1:36" s="87" customFormat="1" ht="91.5" customHeight="1" x14ac:dyDescent="0.25">
      <c r="A58" s="38"/>
      <c r="B58" s="38"/>
      <c r="C58" s="38"/>
      <c r="D58" s="38"/>
      <c r="E58" s="38"/>
      <c r="F58" s="38"/>
      <c r="G58" s="43" t="s">
        <v>1344</v>
      </c>
      <c r="H58" s="45"/>
      <c r="I58" s="44"/>
      <c r="J58" s="45"/>
      <c r="K58" s="45" t="s">
        <v>1686</v>
      </c>
      <c r="L58" s="45" t="s">
        <v>1687</v>
      </c>
      <c r="M58" s="46">
        <v>0.6</v>
      </c>
      <c r="N58" s="46"/>
      <c r="O58" s="52">
        <v>0.25</v>
      </c>
      <c r="P58" s="53">
        <v>0.25</v>
      </c>
      <c r="Q58" s="54">
        <v>0.25</v>
      </c>
      <c r="R58" s="287">
        <v>0.25</v>
      </c>
      <c r="S58" s="25" t="s">
        <v>1688</v>
      </c>
      <c r="T58" s="38"/>
      <c r="U58" s="45" t="s">
        <v>1689</v>
      </c>
      <c r="V58" s="39"/>
      <c r="W58" s="35"/>
      <c r="X58" s="40"/>
      <c r="Y58" s="215" t="s">
        <v>1420</v>
      </c>
      <c r="Z58" s="46">
        <v>1</v>
      </c>
      <c r="AA58" s="45"/>
      <c r="AB58" s="45" t="s">
        <v>1690</v>
      </c>
      <c r="AC58" s="140" t="s">
        <v>979</v>
      </c>
      <c r="AD58" s="153"/>
      <c r="AE58" s="45" t="s">
        <v>1691</v>
      </c>
      <c r="AF58" s="147">
        <v>1</v>
      </c>
      <c r="AG58" s="45"/>
      <c r="AH58" s="45" t="s">
        <v>1692</v>
      </c>
      <c r="AI58" s="45"/>
      <c r="AJ58" s="45"/>
    </row>
    <row r="59" spans="1:36" s="87" customFormat="1" ht="165.75" hidden="1" customHeight="1" x14ac:dyDescent="0.25">
      <c r="A59" s="38"/>
      <c r="B59" s="38"/>
      <c r="C59" s="38"/>
      <c r="D59" s="38"/>
      <c r="E59" s="38"/>
      <c r="F59" s="38"/>
      <c r="G59" s="43" t="s">
        <v>1344</v>
      </c>
      <c r="H59" s="38"/>
      <c r="I59" s="38"/>
      <c r="J59" s="45" t="s">
        <v>1693</v>
      </c>
      <c r="K59" s="45" t="s">
        <v>1694</v>
      </c>
      <c r="L59" s="45" t="s">
        <v>1695</v>
      </c>
      <c r="M59" s="46">
        <v>0.4</v>
      </c>
      <c r="N59" s="51">
        <v>1</v>
      </c>
      <c r="O59" s="86"/>
      <c r="P59" s="86"/>
      <c r="Q59" s="161"/>
      <c r="R59" s="86"/>
      <c r="S59" s="25" t="s">
        <v>1696</v>
      </c>
      <c r="T59" s="157" t="s">
        <v>1697</v>
      </c>
      <c r="U59" s="45" t="s">
        <v>1698</v>
      </c>
      <c r="V59" s="72" t="s">
        <v>1699</v>
      </c>
      <c r="W59" s="35">
        <v>0.5</v>
      </c>
      <c r="X59" s="72" t="s">
        <v>1664</v>
      </c>
      <c r="Y59" s="40"/>
      <c r="Z59" s="40"/>
      <c r="AA59" s="40"/>
      <c r="AB59" s="40"/>
      <c r="AC59" s="38"/>
      <c r="AD59" s="38"/>
      <c r="AE59" s="45" t="s">
        <v>1700</v>
      </c>
      <c r="AF59" s="147"/>
      <c r="AG59" s="45"/>
      <c r="AH59" s="45"/>
      <c r="AI59" s="45"/>
      <c r="AJ59" s="45"/>
    </row>
    <row r="60" spans="1:36" s="87" customFormat="1" ht="111" customHeight="1" thickBot="1" x14ac:dyDescent="0.3">
      <c r="A60" s="38"/>
      <c r="B60" s="38"/>
      <c r="C60" s="38"/>
      <c r="D60" s="38"/>
      <c r="E60" s="38"/>
      <c r="F60" s="38"/>
      <c r="G60" s="43" t="s">
        <v>1344</v>
      </c>
      <c r="H60" s="38"/>
      <c r="I60" s="38"/>
      <c r="J60" s="45"/>
      <c r="K60" s="45" t="s">
        <v>1701</v>
      </c>
      <c r="L60" s="45" t="s">
        <v>1702</v>
      </c>
      <c r="M60" s="46">
        <v>0.6</v>
      </c>
      <c r="N60" s="46"/>
      <c r="O60" s="52">
        <v>0.25</v>
      </c>
      <c r="P60" s="46">
        <v>0.25</v>
      </c>
      <c r="Q60" s="54">
        <v>0.25</v>
      </c>
      <c r="R60" s="55">
        <v>0.25</v>
      </c>
      <c r="S60" s="25" t="s">
        <v>1703</v>
      </c>
      <c r="T60" s="157" t="s">
        <v>1697</v>
      </c>
      <c r="U60" s="45" t="s">
        <v>1704</v>
      </c>
      <c r="V60" s="39"/>
      <c r="W60" s="35"/>
      <c r="X60" s="40"/>
      <c r="Y60" s="9" t="s">
        <v>603</v>
      </c>
      <c r="Z60" s="35">
        <v>0.5</v>
      </c>
      <c r="AA60" s="281" t="s">
        <v>1666</v>
      </c>
      <c r="AB60" s="226"/>
      <c r="AC60" s="25" t="s">
        <v>533</v>
      </c>
      <c r="AD60" s="25" t="s">
        <v>1705</v>
      </c>
      <c r="AE60" s="45" t="s">
        <v>1706</v>
      </c>
      <c r="AF60" s="147">
        <v>1</v>
      </c>
      <c r="AG60" s="45"/>
      <c r="AH60" s="45" t="s">
        <v>1707</v>
      </c>
      <c r="AI60" s="45"/>
      <c r="AJ60" s="45"/>
    </row>
    <row r="61" spans="1:36" s="87" customFormat="1" ht="257.25" hidden="1" customHeight="1" x14ac:dyDescent="0.25">
      <c r="A61" s="38"/>
      <c r="B61" s="38"/>
      <c r="C61" s="38"/>
      <c r="D61" s="38"/>
      <c r="E61" s="38"/>
      <c r="F61" s="38"/>
      <c r="G61" s="43" t="s">
        <v>1344</v>
      </c>
      <c r="H61" s="38"/>
      <c r="I61" s="38"/>
      <c r="J61" s="45" t="s">
        <v>1708</v>
      </c>
      <c r="K61" s="45" t="s">
        <v>1709</v>
      </c>
      <c r="L61" s="45" t="s">
        <v>1710</v>
      </c>
      <c r="M61" s="46">
        <v>1</v>
      </c>
      <c r="N61" s="46">
        <v>0.75</v>
      </c>
      <c r="O61" s="52">
        <v>0.25</v>
      </c>
      <c r="P61" s="86"/>
      <c r="Q61" s="86"/>
      <c r="R61" s="86"/>
      <c r="S61" s="45" t="s">
        <v>1711</v>
      </c>
      <c r="T61" s="45" t="s">
        <v>1712</v>
      </c>
      <c r="U61" s="45" t="s">
        <v>1713</v>
      </c>
      <c r="V61" s="39"/>
      <c r="W61" s="35">
        <v>1</v>
      </c>
      <c r="X61" s="40"/>
      <c r="Y61" s="45" t="s">
        <v>1714</v>
      </c>
      <c r="Z61" s="40"/>
      <c r="AA61" s="40"/>
      <c r="AB61" s="40"/>
      <c r="AC61" s="38"/>
      <c r="AD61" s="38"/>
      <c r="AE61" s="45"/>
      <c r="AF61" s="147"/>
      <c r="AG61" s="45"/>
      <c r="AH61" s="45"/>
      <c r="AI61" s="45"/>
      <c r="AJ61" s="45"/>
    </row>
    <row r="62" spans="1:36" s="87" customFormat="1" ht="315" hidden="1" x14ac:dyDescent="0.25">
      <c r="A62" s="38"/>
      <c r="B62" s="38"/>
      <c r="C62" s="38"/>
      <c r="D62" s="38"/>
      <c r="E62" s="38"/>
      <c r="F62" s="38"/>
      <c r="G62" s="43" t="s">
        <v>1344</v>
      </c>
      <c r="H62" s="38"/>
      <c r="I62" s="38"/>
      <c r="J62" s="45" t="s">
        <v>1715</v>
      </c>
      <c r="K62" s="45" t="s">
        <v>1716</v>
      </c>
      <c r="L62" s="45" t="s">
        <v>1717</v>
      </c>
      <c r="M62" s="46">
        <v>1</v>
      </c>
      <c r="N62" s="51">
        <v>1</v>
      </c>
      <c r="O62" s="86"/>
      <c r="P62" s="86"/>
      <c r="Q62" s="86"/>
      <c r="R62" s="86"/>
      <c r="S62" s="45" t="s">
        <v>1718</v>
      </c>
      <c r="T62" s="45" t="s">
        <v>1719</v>
      </c>
      <c r="U62" s="45" t="s">
        <v>1720</v>
      </c>
      <c r="V62" s="72" t="s">
        <v>1721</v>
      </c>
      <c r="W62" s="35">
        <v>1</v>
      </c>
      <c r="X62" s="40"/>
      <c r="Y62" s="72" t="s">
        <v>1722</v>
      </c>
      <c r="Z62" s="40"/>
      <c r="AA62" s="40"/>
      <c r="AB62" s="40"/>
      <c r="AC62" s="38"/>
      <c r="AD62" s="38"/>
      <c r="AE62" s="45"/>
      <c r="AF62" s="147"/>
      <c r="AG62" s="45"/>
      <c r="AH62" s="45"/>
      <c r="AI62" s="45"/>
      <c r="AJ62" s="45"/>
    </row>
    <row r="63" spans="1:36" s="87" customFormat="1" ht="240" hidden="1" x14ac:dyDescent="0.25">
      <c r="A63" s="38"/>
      <c r="B63" s="38"/>
      <c r="C63" s="38"/>
      <c r="D63" s="38"/>
      <c r="E63" s="38"/>
      <c r="F63" s="38"/>
      <c r="G63" s="43" t="s">
        <v>1344</v>
      </c>
      <c r="H63" s="45"/>
      <c r="I63" s="44"/>
      <c r="J63" s="45" t="s">
        <v>1723</v>
      </c>
      <c r="K63" s="45" t="s">
        <v>1724</v>
      </c>
      <c r="L63" s="45" t="s">
        <v>1725</v>
      </c>
      <c r="M63" s="46">
        <v>0.25</v>
      </c>
      <c r="N63" s="46">
        <v>1</v>
      </c>
      <c r="O63" s="86"/>
      <c r="P63" s="86"/>
      <c r="Q63" s="86"/>
      <c r="R63" s="86"/>
      <c r="S63" s="45" t="s">
        <v>1682</v>
      </c>
      <c r="T63" s="45" t="s">
        <v>1726</v>
      </c>
      <c r="U63" s="45" t="s">
        <v>1727</v>
      </c>
      <c r="V63" s="202"/>
      <c r="W63" s="35">
        <v>0.5</v>
      </c>
      <c r="X63" s="72" t="s">
        <v>1664</v>
      </c>
      <c r="Y63" s="40"/>
      <c r="Z63" s="40"/>
      <c r="AA63" s="40"/>
      <c r="AB63" s="40"/>
      <c r="AC63" s="38"/>
      <c r="AD63" s="38"/>
      <c r="AE63" s="45"/>
      <c r="AF63" s="147"/>
      <c r="AG63" s="45"/>
      <c r="AH63" s="45"/>
      <c r="AI63" s="45"/>
      <c r="AJ63" s="45"/>
    </row>
    <row r="64" spans="1:36" s="87" customFormat="1" ht="240.75" hidden="1" thickBot="1" x14ac:dyDescent="0.3">
      <c r="A64" s="38"/>
      <c r="B64" s="38"/>
      <c r="C64" s="38"/>
      <c r="D64" s="38"/>
      <c r="E64" s="38"/>
      <c r="F64" s="38"/>
      <c r="G64" s="43" t="s">
        <v>1344</v>
      </c>
      <c r="H64" s="38"/>
      <c r="I64" s="38"/>
      <c r="J64" s="45"/>
      <c r="K64" s="45" t="s">
        <v>1728</v>
      </c>
      <c r="L64" s="45" t="s">
        <v>1729</v>
      </c>
      <c r="M64" s="46">
        <v>0.25</v>
      </c>
      <c r="N64" s="46">
        <v>1</v>
      </c>
      <c r="O64" s="86"/>
      <c r="P64" s="86"/>
      <c r="Q64" s="86"/>
      <c r="R64" s="86"/>
      <c r="S64" s="45" t="s">
        <v>1682</v>
      </c>
      <c r="T64" s="45" t="s">
        <v>1726</v>
      </c>
      <c r="U64" s="45" t="s">
        <v>1730</v>
      </c>
      <c r="V64" s="202"/>
      <c r="W64" s="35">
        <v>0.5</v>
      </c>
      <c r="X64" s="72" t="s">
        <v>1664</v>
      </c>
      <c r="Y64" s="40"/>
      <c r="Z64" s="40"/>
      <c r="AA64" s="40"/>
      <c r="AB64" s="40"/>
      <c r="AC64" s="38"/>
      <c r="AD64" s="38"/>
      <c r="AE64" s="45"/>
      <c r="AF64" s="147"/>
      <c r="AG64" s="45"/>
      <c r="AH64" s="45"/>
      <c r="AI64" s="45"/>
      <c r="AJ64" s="45"/>
    </row>
    <row r="65" spans="1:36" s="87" customFormat="1" ht="62.25" customHeight="1" x14ac:dyDescent="0.25">
      <c r="A65" s="38"/>
      <c r="B65" s="38"/>
      <c r="C65" s="38"/>
      <c r="D65" s="38"/>
      <c r="E65" s="38"/>
      <c r="F65" s="38"/>
      <c r="G65" s="43" t="s">
        <v>1344</v>
      </c>
      <c r="H65" s="38"/>
      <c r="I65" s="38"/>
      <c r="J65" s="45"/>
      <c r="K65" s="315" t="s">
        <v>1731</v>
      </c>
      <c r="L65" s="45" t="s">
        <v>1732</v>
      </c>
      <c r="M65" s="46">
        <v>0.5</v>
      </c>
      <c r="N65" s="46"/>
      <c r="O65" s="52">
        <v>0.25</v>
      </c>
      <c r="P65" s="53">
        <v>0.25</v>
      </c>
      <c r="Q65" s="54">
        <v>0.25</v>
      </c>
      <c r="R65" s="287">
        <v>0.25</v>
      </c>
      <c r="S65" s="45" t="s">
        <v>1682</v>
      </c>
      <c r="T65" s="45" t="s">
        <v>1733</v>
      </c>
      <c r="U65" s="45" t="s">
        <v>1727</v>
      </c>
      <c r="V65" s="39"/>
      <c r="W65" s="35"/>
      <c r="X65" s="40"/>
      <c r="Y65" s="72" t="s">
        <v>1734</v>
      </c>
      <c r="Z65" s="40"/>
      <c r="AA65" s="281" t="s">
        <v>1666</v>
      </c>
      <c r="AB65" s="72" t="s">
        <v>1735</v>
      </c>
      <c r="AC65" s="38"/>
      <c r="AD65" s="25" t="s">
        <v>1705</v>
      </c>
      <c r="AE65" s="72" t="s">
        <v>1671</v>
      </c>
      <c r="AF65" s="147">
        <v>1</v>
      </c>
      <c r="AG65" s="45"/>
      <c r="AH65" s="45"/>
      <c r="AI65" s="45"/>
      <c r="AJ65" s="45"/>
    </row>
    <row r="66" spans="1:36" s="87" customFormat="1" ht="198.75" customHeight="1" x14ac:dyDescent="0.25">
      <c r="A66" s="38"/>
      <c r="B66" s="38"/>
      <c r="C66" s="38"/>
      <c r="D66" s="38"/>
      <c r="E66" s="38"/>
      <c r="F66" s="38"/>
      <c r="G66" s="43" t="s">
        <v>1344</v>
      </c>
      <c r="H66" s="38"/>
      <c r="I66" s="38"/>
      <c r="J66" s="45" t="s">
        <v>1736</v>
      </c>
      <c r="K66" s="45" t="s">
        <v>1737</v>
      </c>
      <c r="L66" s="45" t="s">
        <v>1738</v>
      </c>
      <c r="M66" s="46">
        <v>0.25</v>
      </c>
      <c r="N66" s="51">
        <v>0.2</v>
      </c>
      <c r="O66" s="52">
        <v>0.2</v>
      </c>
      <c r="P66" s="53">
        <v>0.2</v>
      </c>
      <c r="Q66" s="54">
        <v>0.2</v>
      </c>
      <c r="R66" s="55">
        <v>0.2</v>
      </c>
      <c r="S66" s="45" t="s">
        <v>1739</v>
      </c>
      <c r="T66" s="45" t="s">
        <v>1740</v>
      </c>
      <c r="U66" s="45" t="s">
        <v>1741</v>
      </c>
      <c r="V66" s="316" t="s">
        <v>1742</v>
      </c>
      <c r="W66" s="107">
        <v>1</v>
      </c>
      <c r="X66" s="72"/>
      <c r="Y66" s="177" t="s">
        <v>1743</v>
      </c>
      <c r="Z66" s="107">
        <v>1</v>
      </c>
      <c r="AA66" s="40"/>
      <c r="AB66" s="72" t="s">
        <v>1744</v>
      </c>
      <c r="AC66" s="72" t="s">
        <v>533</v>
      </c>
      <c r="AD66" s="38"/>
      <c r="AE66" s="72" t="s">
        <v>1745</v>
      </c>
      <c r="AF66" s="147">
        <v>1</v>
      </c>
      <c r="AG66" s="45"/>
      <c r="AH66" s="317" t="s">
        <v>1746</v>
      </c>
      <c r="AI66" s="45"/>
      <c r="AJ66" s="45"/>
    </row>
    <row r="67" spans="1:36" s="87" customFormat="1" ht="219" hidden="1" customHeight="1" thickBot="1" x14ac:dyDescent="0.3">
      <c r="A67" s="38"/>
      <c r="B67" s="38"/>
      <c r="C67" s="38"/>
      <c r="D67" s="38"/>
      <c r="E67" s="38"/>
      <c r="F67" s="38"/>
      <c r="G67" s="43" t="s">
        <v>1344</v>
      </c>
      <c r="H67" s="38"/>
      <c r="I67" s="38"/>
      <c r="J67" s="45"/>
      <c r="K67" s="45" t="s">
        <v>1747</v>
      </c>
      <c r="L67" s="45" t="s">
        <v>1748</v>
      </c>
      <c r="M67" s="46">
        <v>0.25</v>
      </c>
      <c r="N67" s="51">
        <v>0.25</v>
      </c>
      <c r="O67" s="52">
        <v>0.25</v>
      </c>
      <c r="P67" s="53"/>
      <c r="Q67" s="54"/>
      <c r="R67" s="86"/>
      <c r="S67" s="45" t="s">
        <v>1749</v>
      </c>
      <c r="T67" s="45" t="s">
        <v>1740</v>
      </c>
      <c r="U67" s="45" t="s">
        <v>1741</v>
      </c>
      <c r="V67" s="316" t="s">
        <v>1750</v>
      </c>
      <c r="W67" s="107">
        <v>0.61</v>
      </c>
      <c r="X67" s="494" t="s">
        <v>1751</v>
      </c>
      <c r="Y67" s="177" t="s">
        <v>1752</v>
      </c>
      <c r="Z67" s="35">
        <v>1</v>
      </c>
      <c r="AA67" s="40"/>
      <c r="AB67" s="72" t="s">
        <v>533</v>
      </c>
      <c r="AC67" s="38"/>
      <c r="AD67" s="38"/>
      <c r="AE67" s="318"/>
      <c r="AF67" s="147"/>
      <c r="AG67" s="45"/>
      <c r="AH67" s="317"/>
      <c r="AI67" s="45"/>
      <c r="AJ67" s="45"/>
    </row>
    <row r="68" spans="1:36" s="87" customFormat="1" ht="255.75" hidden="1" thickBot="1" x14ac:dyDescent="0.3">
      <c r="A68" s="38"/>
      <c r="B68" s="38"/>
      <c r="C68" s="38"/>
      <c r="D68" s="38"/>
      <c r="E68" s="38"/>
      <c r="F68" s="38"/>
      <c r="G68" s="43" t="s">
        <v>1344</v>
      </c>
      <c r="H68" s="38"/>
      <c r="I68" s="38"/>
      <c r="J68" s="45"/>
      <c r="K68" s="45" t="s">
        <v>1753</v>
      </c>
      <c r="L68" s="45" t="s">
        <v>1754</v>
      </c>
      <c r="M68" s="46">
        <v>0.25</v>
      </c>
      <c r="N68" s="51">
        <v>0.25</v>
      </c>
      <c r="O68" s="52">
        <v>0.25</v>
      </c>
      <c r="P68" s="53"/>
      <c r="Q68" s="54"/>
      <c r="R68" s="86"/>
      <c r="S68" s="45" t="s">
        <v>1755</v>
      </c>
      <c r="T68" s="45" t="s">
        <v>1740</v>
      </c>
      <c r="U68" s="45" t="s">
        <v>1741</v>
      </c>
      <c r="V68" s="316" t="s">
        <v>1756</v>
      </c>
      <c r="W68" s="107">
        <v>0.62</v>
      </c>
      <c r="X68" s="382"/>
      <c r="Y68" s="177" t="s">
        <v>1757</v>
      </c>
      <c r="Z68" s="35">
        <v>1</v>
      </c>
      <c r="AA68" s="40"/>
      <c r="AB68" s="72"/>
      <c r="AC68" s="72" t="s">
        <v>533</v>
      </c>
      <c r="AD68" s="38"/>
      <c r="AE68" s="318"/>
      <c r="AF68" s="147"/>
      <c r="AG68" s="45"/>
      <c r="AH68" s="45"/>
      <c r="AI68" s="45"/>
      <c r="AJ68" s="45"/>
    </row>
    <row r="69" spans="1:36" s="87" customFormat="1" ht="126" hidden="1" customHeight="1" thickBot="1" x14ac:dyDescent="0.3">
      <c r="A69" s="38"/>
      <c r="B69" s="38"/>
      <c r="C69" s="38"/>
      <c r="D69" s="38"/>
      <c r="E69" s="38"/>
      <c r="F69" s="38"/>
      <c r="G69" s="43" t="s">
        <v>1344</v>
      </c>
      <c r="H69" s="38"/>
      <c r="I69" s="38"/>
      <c r="J69" s="45"/>
      <c r="K69" s="45" t="s">
        <v>1758</v>
      </c>
      <c r="L69" s="45" t="s">
        <v>1759</v>
      </c>
      <c r="M69" s="46">
        <v>0.25</v>
      </c>
      <c r="N69" s="46"/>
      <c r="O69" s="52">
        <v>0.25</v>
      </c>
      <c r="P69" s="53"/>
      <c r="Q69" s="54"/>
      <c r="R69" s="46"/>
      <c r="S69" s="319" t="s">
        <v>819</v>
      </c>
      <c r="T69" s="45" t="s">
        <v>1760</v>
      </c>
      <c r="U69" s="45" t="s">
        <v>1741</v>
      </c>
      <c r="V69" s="316" t="s">
        <v>1761</v>
      </c>
      <c r="W69" s="107">
        <v>0.63</v>
      </c>
      <c r="X69" s="383"/>
      <c r="Y69" s="318" t="s">
        <v>1762</v>
      </c>
      <c r="Z69" s="35">
        <v>1</v>
      </c>
      <c r="AA69" s="40"/>
      <c r="AB69" s="72"/>
      <c r="AC69" s="72" t="s">
        <v>533</v>
      </c>
      <c r="AD69" s="38"/>
      <c r="AE69" s="318"/>
      <c r="AF69" s="147"/>
      <c r="AG69" s="45"/>
      <c r="AH69" s="45"/>
      <c r="AI69" s="45"/>
      <c r="AJ69" s="45"/>
    </row>
    <row r="70" spans="1:36" s="87" customFormat="1" ht="324.75" customHeight="1" thickBot="1" x14ac:dyDescent="0.3">
      <c r="A70" s="38"/>
      <c r="B70" s="38"/>
      <c r="C70" s="38"/>
      <c r="D70" s="38"/>
      <c r="E70" s="38"/>
      <c r="F70" s="38"/>
      <c r="G70" s="43"/>
      <c r="H70" s="38"/>
      <c r="I70" s="38"/>
      <c r="J70" s="45"/>
      <c r="K70" s="140" t="s">
        <v>1763</v>
      </c>
      <c r="L70" s="45"/>
      <c r="M70" s="46">
        <v>0.75</v>
      </c>
      <c r="N70" s="46"/>
      <c r="O70" s="52"/>
      <c r="P70" s="53">
        <v>0.25</v>
      </c>
      <c r="Q70" s="54">
        <v>0.25</v>
      </c>
      <c r="R70" s="55">
        <v>0.25</v>
      </c>
      <c r="S70" s="319"/>
      <c r="T70" s="45"/>
      <c r="U70" s="45"/>
      <c r="V70" s="316"/>
      <c r="W70" s="107"/>
      <c r="X70" s="33"/>
      <c r="Y70" s="320"/>
      <c r="Z70" s="35"/>
      <c r="AA70" s="40"/>
      <c r="AB70" s="321" t="s">
        <v>1764</v>
      </c>
      <c r="AC70" s="72" t="s">
        <v>533</v>
      </c>
      <c r="AD70" s="38"/>
      <c r="AE70" s="318" t="s">
        <v>1764</v>
      </c>
      <c r="AF70" s="147">
        <v>1</v>
      </c>
      <c r="AG70" s="45"/>
      <c r="AH70" s="45" t="s">
        <v>1765</v>
      </c>
      <c r="AI70" s="45"/>
      <c r="AJ70" s="45"/>
    </row>
    <row r="71" spans="1:36" s="87" customFormat="1" ht="159" customHeight="1" thickBot="1" x14ac:dyDescent="0.3">
      <c r="A71" s="38"/>
      <c r="B71" s="38"/>
      <c r="C71" s="38"/>
      <c r="D71" s="38"/>
      <c r="E71" s="38"/>
      <c r="F71" s="38"/>
      <c r="G71" s="43" t="s">
        <v>1344</v>
      </c>
      <c r="H71" s="45" t="s">
        <v>1766</v>
      </c>
      <c r="I71" s="45" t="s">
        <v>1767</v>
      </c>
      <c r="J71" s="49" t="s">
        <v>1768</v>
      </c>
      <c r="K71" s="45" t="s">
        <v>1769</v>
      </c>
      <c r="L71" s="45" t="s">
        <v>1770</v>
      </c>
      <c r="M71" s="46">
        <v>1</v>
      </c>
      <c r="N71" s="51">
        <v>1</v>
      </c>
      <c r="O71" s="52">
        <v>1</v>
      </c>
      <c r="P71" s="53">
        <v>1</v>
      </c>
      <c r="Q71" s="54">
        <v>1</v>
      </c>
      <c r="R71" s="55">
        <v>1</v>
      </c>
      <c r="S71" s="45" t="s">
        <v>1771</v>
      </c>
      <c r="T71" s="38"/>
      <c r="U71" s="45" t="s">
        <v>1772</v>
      </c>
      <c r="V71" s="322" t="s">
        <v>1773</v>
      </c>
      <c r="W71" s="35">
        <v>1</v>
      </c>
      <c r="X71" s="40"/>
      <c r="Y71" s="322" t="s">
        <v>1774</v>
      </c>
      <c r="Z71" s="35">
        <v>1</v>
      </c>
      <c r="AA71" s="40"/>
      <c r="AB71" s="58" t="s">
        <v>1775</v>
      </c>
      <c r="AC71" s="209" t="s">
        <v>533</v>
      </c>
      <c r="AD71" s="38"/>
      <c r="AE71" s="45" t="s">
        <v>1776</v>
      </c>
      <c r="AF71" s="147">
        <v>1</v>
      </c>
      <c r="AG71" s="45"/>
      <c r="AH71" s="45"/>
      <c r="AI71" s="45"/>
      <c r="AJ71" s="45"/>
    </row>
    <row r="72" spans="1:36" s="87" customFormat="1" ht="131.25" hidden="1" customHeight="1" x14ac:dyDescent="0.25">
      <c r="A72" s="381" t="s">
        <v>1777</v>
      </c>
      <c r="B72" s="384" t="s">
        <v>1778</v>
      </c>
      <c r="C72" s="45" t="s">
        <v>1779</v>
      </c>
      <c r="D72" s="144">
        <v>40909</v>
      </c>
      <c r="E72" s="144">
        <v>44896</v>
      </c>
      <c r="F72" s="45" t="s">
        <v>1254</v>
      </c>
      <c r="G72" s="62" t="s">
        <v>1344</v>
      </c>
      <c r="H72" s="64" t="s">
        <v>1780</v>
      </c>
      <c r="I72" s="38"/>
      <c r="J72" s="64" t="s">
        <v>1781</v>
      </c>
      <c r="K72" s="64" t="s">
        <v>1782</v>
      </c>
      <c r="L72" s="64" t="s">
        <v>223</v>
      </c>
      <c r="M72" s="65">
        <v>0.25</v>
      </c>
      <c r="N72" s="65">
        <v>1</v>
      </c>
      <c r="O72" s="38"/>
      <c r="P72" s="38"/>
      <c r="Q72" s="38"/>
      <c r="R72" s="38"/>
      <c r="S72" s="64" t="s">
        <v>1254</v>
      </c>
      <c r="T72" s="38"/>
      <c r="U72" s="38"/>
      <c r="V72" s="316" t="s">
        <v>1783</v>
      </c>
      <c r="W72" s="35">
        <v>1</v>
      </c>
      <c r="X72" s="316"/>
      <c r="Y72" s="40"/>
      <c r="Z72" s="40"/>
      <c r="AA72" s="40"/>
      <c r="AB72" s="40"/>
      <c r="AC72" s="90" t="s">
        <v>1784</v>
      </c>
      <c r="AD72" s="153"/>
      <c r="AE72" s="45"/>
      <c r="AF72" s="147"/>
      <c r="AG72" s="45"/>
      <c r="AH72" s="45"/>
      <c r="AI72" s="45"/>
      <c r="AJ72" s="45"/>
    </row>
    <row r="73" spans="1:36" s="87" customFormat="1" ht="182.25" hidden="1" customHeight="1" thickBot="1" x14ac:dyDescent="0.3">
      <c r="A73" s="402"/>
      <c r="B73" s="385"/>
      <c r="C73" s="45" t="s">
        <v>1785</v>
      </c>
      <c r="D73" s="144">
        <v>40909</v>
      </c>
      <c r="E73" s="144">
        <v>44896</v>
      </c>
      <c r="F73" s="131" t="s">
        <v>1254</v>
      </c>
      <c r="G73" s="62" t="s">
        <v>1344</v>
      </c>
      <c r="H73" s="38"/>
      <c r="I73" s="38"/>
      <c r="J73" s="64"/>
      <c r="K73" s="64" t="s">
        <v>1786</v>
      </c>
      <c r="L73" s="64" t="s">
        <v>1787</v>
      </c>
      <c r="M73" s="65">
        <v>0.25</v>
      </c>
      <c r="N73" s="38"/>
      <c r="O73" s="65">
        <v>1</v>
      </c>
      <c r="P73" s="38"/>
      <c r="Q73" s="38"/>
      <c r="R73" s="38"/>
      <c r="S73" s="64" t="s">
        <v>1254</v>
      </c>
      <c r="T73" s="64" t="s">
        <v>1788</v>
      </c>
      <c r="U73" s="64" t="s">
        <v>1789</v>
      </c>
      <c r="V73"/>
      <c r="W73" s="35"/>
      <c r="X73" s="40"/>
      <c r="Y73" s="9"/>
      <c r="Z73" s="40"/>
      <c r="AA73" s="12"/>
      <c r="AB73" s="40"/>
      <c r="AC73" s="38"/>
      <c r="AD73" s="153"/>
      <c r="AE73" s="45"/>
      <c r="AF73" s="147"/>
      <c r="AG73" s="45"/>
      <c r="AH73" s="45"/>
      <c r="AI73" s="45"/>
      <c r="AJ73" s="45"/>
    </row>
    <row r="74" spans="1:36" s="87" customFormat="1" ht="165" customHeight="1" thickBot="1" x14ac:dyDescent="0.3">
      <c r="A74" s="402"/>
      <c r="B74" s="385"/>
      <c r="C74" s="45" t="s">
        <v>1790</v>
      </c>
      <c r="D74" s="144">
        <v>40909</v>
      </c>
      <c r="E74" s="144">
        <v>44896</v>
      </c>
      <c r="F74" s="131" t="s">
        <v>1254</v>
      </c>
      <c r="G74" s="62" t="s">
        <v>1344</v>
      </c>
      <c r="H74" s="38"/>
      <c r="I74" s="38"/>
      <c r="J74" s="64"/>
      <c r="K74" s="64" t="s">
        <v>1791</v>
      </c>
      <c r="L74" s="64" t="s">
        <v>1792</v>
      </c>
      <c r="M74" s="65">
        <v>0.25</v>
      </c>
      <c r="N74" s="65">
        <v>0.2</v>
      </c>
      <c r="O74" s="91">
        <v>0.2</v>
      </c>
      <c r="P74" s="65">
        <v>0.2</v>
      </c>
      <c r="Q74" s="89">
        <v>0.2</v>
      </c>
      <c r="R74" s="79">
        <v>0.2</v>
      </c>
      <c r="S74" s="64" t="s">
        <v>1254</v>
      </c>
      <c r="T74" s="64" t="s">
        <v>1788</v>
      </c>
      <c r="U74" s="64" t="s">
        <v>1789</v>
      </c>
      <c r="V74" s="316" t="s">
        <v>1793</v>
      </c>
      <c r="W74" s="35">
        <v>1</v>
      </c>
      <c r="X74" s="40"/>
      <c r="Y74" s="90" t="s">
        <v>1794</v>
      </c>
      <c r="Z74" s="35">
        <v>1</v>
      </c>
      <c r="AA74" s="40"/>
      <c r="AB74" s="90" t="s">
        <v>1794</v>
      </c>
      <c r="AC74" s="209" t="s">
        <v>533</v>
      </c>
      <c r="AD74" s="38"/>
      <c r="AE74" s="45" t="s">
        <v>1795</v>
      </c>
      <c r="AF74" s="147">
        <v>1</v>
      </c>
      <c r="AG74" s="45"/>
      <c r="AH74" s="58" t="s">
        <v>1796</v>
      </c>
      <c r="AI74" s="45"/>
      <c r="AJ74" s="45"/>
    </row>
    <row r="75" spans="1:36" s="87" customFormat="1" ht="139.5" customHeight="1" thickBot="1" x14ac:dyDescent="0.3">
      <c r="A75" s="403"/>
      <c r="B75" s="386"/>
      <c r="C75" s="45" t="s">
        <v>1797</v>
      </c>
      <c r="D75" s="144">
        <v>40909</v>
      </c>
      <c r="E75" s="144">
        <v>44896</v>
      </c>
      <c r="F75" s="131" t="s">
        <v>1254</v>
      </c>
      <c r="G75" s="62" t="s">
        <v>1344</v>
      </c>
      <c r="H75" s="38"/>
      <c r="I75" s="38"/>
      <c r="J75" s="64"/>
      <c r="K75" s="64" t="s">
        <v>1798</v>
      </c>
      <c r="L75" s="64" t="s">
        <v>1799</v>
      </c>
      <c r="M75" s="65">
        <v>0.25</v>
      </c>
      <c r="N75" s="65">
        <v>0.2</v>
      </c>
      <c r="O75" s="91">
        <v>0.2</v>
      </c>
      <c r="P75" s="88">
        <v>0.2</v>
      </c>
      <c r="Q75" s="89">
        <v>0.2</v>
      </c>
      <c r="R75" s="79">
        <v>0.2</v>
      </c>
      <c r="S75" s="64" t="s">
        <v>1254</v>
      </c>
      <c r="T75" s="64" t="s">
        <v>1788</v>
      </c>
      <c r="U75" s="64" t="s">
        <v>1789</v>
      </c>
      <c r="V75" s="316" t="s">
        <v>1800</v>
      </c>
      <c r="W75" s="35">
        <v>1</v>
      </c>
      <c r="X75" s="40"/>
      <c r="Y75" s="90" t="s">
        <v>1801</v>
      </c>
      <c r="Z75" s="35">
        <v>1</v>
      </c>
      <c r="AA75" s="40"/>
      <c r="AB75" s="90" t="s">
        <v>1802</v>
      </c>
      <c r="AC75" s="209" t="s">
        <v>533</v>
      </c>
      <c r="AD75" s="38"/>
      <c r="AE75" s="45" t="s">
        <v>1801</v>
      </c>
      <c r="AF75" s="147">
        <v>0.6</v>
      </c>
      <c r="AG75" s="45" t="s">
        <v>1803</v>
      </c>
      <c r="AH75" s="58" t="s">
        <v>1804</v>
      </c>
      <c r="AI75" s="45"/>
      <c r="AJ75" s="45"/>
    </row>
    <row r="76" spans="1:36" s="87" customFormat="1" ht="166.5" hidden="1" customHeight="1" thickBot="1" x14ac:dyDescent="0.3">
      <c r="A76" s="381" t="s">
        <v>1805</v>
      </c>
      <c r="B76" s="384" t="s">
        <v>1806</v>
      </c>
      <c r="C76" s="45" t="s">
        <v>1807</v>
      </c>
      <c r="D76" s="144">
        <v>40909</v>
      </c>
      <c r="E76" s="144">
        <v>43800</v>
      </c>
      <c r="F76" s="131" t="s">
        <v>1254</v>
      </c>
      <c r="G76" s="62" t="s">
        <v>1344</v>
      </c>
      <c r="H76" s="64" t="s">
        <v>1808</v>
      </c>
      <c r="I76" s="38"/>
      <c r="J76" s="517" t="s">
        <v>1809</v>
      </c>
      <c r="K76" s="64" t="s">
        <v>1810</v>
      </c>
      <c r="L76" s="64" t="s">
        <v>223</v>
      </c>
      <c r="M76" s="65">
        <v>0.25</v>
      </c>
      <c r="N76" s="65">
        <v>1</v>
      </c>
      <c r="O76" s="38"/>
      <c r="P76" s="38"/>
      <c r="Q76" s="38"/>
      <c r="R76" s="38"/>
      <c r="S76" s="64" t="s">
        <v>1254</v>
      </c>
      <c r="T76" s="64" t="s">
        <v>1811</v>
      </c>
      <c r="U76" s="64" t="s">
        <v>1789</v>
      </c>
      <c r="V76" s="316" t="s">
        <v>1812</v>
      </c>
      <c r="W76" s="35">
        <v>1</v>
      </c>
      <c r="X76" s="40"/>
      <c r="Y76" s="40"/>
      <c r="Z76" s="40"/>
      <c r="AA76" s="40"/>
      <c r="AB76" s="40"/>
      <c r="AC76" s="38"/>
      <c r="AD76" s="38"/>
      <c r="AE76" s="45"/>
      <c r="AF76" s="147"/>
      <c r="AG76" s="45"/>
      <c r="AH76" s="45"/>
      <c r="AI76" s="45"/>
      <c r="AJ76" s="45"/>
    </row>
    <row r="77" spans="1:36" s="87" customFormat="1" ht="218.25" hidden="1" customHeight="1" thickBot="1" x14ac:dyDescent="0.3">
      <c r="A77" s="385"/>
      <c r="B77" s="385"/>
      <c r="C77" s="45" t="s">
        <v>1813</v>
      </c>
      <c r="D77" s="144">
        <v>40909</v>
      </c>
      <c r="E77" s="144">
        <v>43800</v>
      </c>
      <c r="F77" s="131" t="s">
        <v>1254</v>
      </c>
      <c r="G77" s="62" t="s">
        <v>1344</v>
      </c>
      <c r="H77" s="38"/>
      <c r="I77" s="38"/>
      <c r="J77" s="518"/>
      <c r="K77" s="64" t="s">
        <v>1814</v>
      </c>
      <c r="L77" s="64" t="s">
        <v>1787</v>
      </c>
      <c r="M77" s="65">
        <v>0.15</v>
      </c>
      <c r="N77" s="65">
        <v>1</v>
      </c>
      <c r="O77" s="38"/>
      <c r="P77" s="38"/>
      <c r="Q77" s="38"/>
      <c r="R77" s="38"/>
      <c r="S77" s="64" t="s">
        <v>1254</v>
      </c>
      <c r="T77" s="64" t="s">
        <v>1811</v>
      </c>
      <c r="U77" s="64" t="s">
        <v>1789</v>
      </c>
      <c r="V77" s="316" t="s">
        <v>1815</v>
      </c>
      <c r="W77" s="35">
        <v>0.5</v>
      </c>
      <c r="X77" s="40"/>
      <c r="Y77" s="316" t="s">
        <v>1816</v>
      </c>
      <c r="Z77" s="35">
        <v>0.5</v>
      </c>
      <c r="AA77" s="40"/>
      <c r="AB77" s="40"/>
      <c r="AC77" s="38"/>
      <c r="AD77" s="38"/>
      <c r="AE77" s="45"/>
      <c r="AF77" s="147"/>
      <c r="AG77" s="45"/>
      <c r="AH77" s="45"/>
      <c r="AI77" s="45"/>
      <c r="AJ77" s="45"/>
    </row>
    <row r="78" spans="1:36" s="87" customFormat="1" ht="118.5" customHeight="1" thickBot="1" x14ac:dyDescent="0.3">
      <c r="A78" s="385"/>
      <c r="B78" s="385"/>
      <c r="C78" s="45" t="s">
        <v>1817</v>
      </c>
      <c r="D78" s="144">
        <v>40909</v>
      </c>
      <c r="E78" s="144">
        <v>43800</v>
      </c>
      <c r="F78" s="131" t="s">
        <v>1254</v>
      </c>
      <c r="G78" s="62" t="s">
        <v>1344</v>
      </c>
      <c r="H78" s="38"/>
      <c r="I78" s="38"/>
      <c r="J78" s="518"/>
      <c r="K78" s="64" t="s">
        <v>1818</v>
      </c>
      <c r="L78" s="64" t="s">
        <v>1799</v>
      </c>
      <c r="M78" s="65">
        <v>0.15</v>
      </c>
      <c r="N78" s="65">
        <v>0.2</v>
      </c>
      <c r="O78" s="91">
        <v>0.2</v>
      </c>
      <c r="P78" s="88">
        <v>0.2</v>
      </c>
      <c r="Q78" s="89">
        <v>0.2</v>
      </c>
      <c r="R78" s="79">
        <v>0.2</v>
      </c>
      <c r="S78" s="64" t="s">
        <v>1254</v>
      </c>
      <c r="T78" s="64" t="s">
        <v>1811</v>
      </c>
      <c r="U78" s="64" t="s">
        <v>1789</v>
      </c>
      <c r="V78" s="316" t="s">
        <v>1819</v>
      </c>
      <c r="W78" s="35">
        <v>1</v>
      </c>
      <c r="X78" s="40"/>
      <c r="Y78" s="90" t="s">
        <v>1820</v>
      </c>
      <c r="Z78" s="35">
        <v>1</v>
      </c>
      <c r="AA78" s="40"/>
      <c r="AB78" s="90" t="s">
        <v>1821</v>
      </c>
      <c r="AC78" s="209" t="s">
        <v>533</v>
      </c>
      <c r="AD78" s="38"/>
      <c r="AE78" s="45" t="s">
        <v>1821</v>
      </c>
      <c r="AF78" s="147">
        <v>1</v>
      </c>
      <c r="AG78" s="45"/>
      <c r="AH78" s="205" t="s">
        <v>1821</v>
      </c>
      <c r="AI78" s="45"/>
      <c r="AJ78" s="45"/>
    </row>
    <row r="79" spans="1:36" s="87" customFormat="1" ht="233.25" hidden="1" customHeight="1" thickBot="1" x14ac:dyDescent="0.3">
      <c r="A79" s="385"/>
      <c r="B79" s="385"/>
      <c r="C79" s="45" t="s">
        <v>1822</v>
      </c>
      <c r="D79" s="144">
        <v>40909</v>
      </c>
      <c r="E79" s="144">
        <v>43800</v>
      </c>
      <c r="F79" s="131" t="s">
        <v>1254</v>
      </c>
      <c r="G79" s="62" t="s">
        <v>1344</v>
      </c>
      <c r="H79" s="38"/>
      <c r="I79" s="38"/>
      <c r="J79" s="518"/>
      <c r="K79" s="64" t="s">
        <v>1823</v>
      </c>
      <c r="L79" s="64" t="s">
        <v>1787</v>
      </c>
      <c r="M79" s="65">
        <v>0.25</v>
      </c>
      <c r="N79" s="65">
        <v>1</v>
      </c>
      <c r="O79" s="38"/>
      <c r="P79" s="38"/>
      <c r="Q79" s="38"/>
      <c r="R79" s="38"/>
      <c r="S79" s="64" t="s">
        <v>1254</v>
      </c>
      <c r="T79" s="64" t="s">
        <v>1811</v>
      </c>
      <c r="U79" s="64" t="s">
        <v>1789</v>
      </c>
      <c r="V79" s="316" t="s">
        <v>1824</v>
      </c>
      <c r="W79" s="35">
        <v>0.5</v>
      </c>
      <c r="X79" s="40"/>
      <c r="Y79" s="316" t="s">
        <v>1816</v>
      </c>
      <c r="Z79" s="35">
        <v>0.5</v>
      </c>
      <c r="AA79" s="40"/>
      <c r="AB79" s="40"/>
      <c r="AC79" s="38"/>
      <c r="AD79" s="38"/>
      <c r="AE79" s="45"/>
      <c r="AF79" s="147"/>
      <c r="AG79" s="45"/>
      <c r="AH79" s="45"/>
      <c r="AI79" s="45"/>
      <c r="AJ79" s="45"/>
    </row>
    <row r="80" spans="1:36" s="87" customFormat="1" ht="117" customHeight="1" thickBot="1" x14ac:dyDescent="0.3">
      <c r="A80" s="386"/>
      <c r="B80" s="386"/>
      <c r="C80" s="45" t="s">
        <v>1825</v>
      </c>
      <c r="D80" s="144">
        <v>40909</v>
      </c>
      <c r="E80" s="144">
        <v>43800</v>
      </c>
      <c r="F80" s="131" t="s">
        <v>1254</v>
      </c>
      <c r="G80" s="62" t="s">
        <v>1344</v>
      </c>
      <c r="H80" s="38"/>
      <c r="I80" s="38"/>
      <c r="J80" s="519"/>
      <c r="K80" s="64" t="s">
        <v>1826</v>
      </c>
      <c r="L80" s="64" t="s">
        <v>1799</v>
      </c>
      <c r="M80" s="65">
        <v>0.2</v>
      </c>
      <c r="N80" s="65"/>
      <c r="O80" s="65">
        <v>0.25</v>
      </c>
      <c r="P80" s="65">
        <v>0.25</v>
      </c>
      <c r="Q80" s="89">
        <v>0.25</v>
      </c>
      <c r="R80" s="65">
        <v>0.25</v>
      </c>
      <c r="S80" s="64" t="s">
        <v>1254</v>
      </c>
      <c r="T80" s="64" t="s">
        <v>1811</v>
      </c>
      <c r="U80" s="64" t="s">
        <v>1789</v>
      </c>
      <c r="V80" s="316" t="s">
        <v>1827</v>
      </c>
      <c r="W80" s="35">
        <v>1</v>
      </c>
      <c r="X80" s="40"/>
      <c r="Y80" s="90" t="s">
        <v>1549</v>
      </c>
      <c r="Z80" s="35">
        <v>1</v>
      </c>
      <c r="AA80" s="40"/>
      <c r="AB80" s="90" t="s">
        <v>1821</v>
      </c>
      <c r="AC80" s="209" t="s">
        <v>533</v>
      </c>
      <c r="AD80" s="38"/>
      <c r="AE80" s="45" t="s">
        <v>1828</v>
      </c>
      <c r="AF80" s="147">
        <v>1</v>
      </c>
      <c r="AG80" s="45"/>
      <c r="AH80" s="140"/>
      <c r="AI80" s="45"/>
      <c r="AJ80" s="45"/>
    </row>
    <row r="81" spans="1:36" s="87" customFormat="1" ht="206.25" hidden="1" customHeight="1" thickBot="1" x14ac:dyDescent="0.3">
      <c r="A81" s="381" t="s">
        <v>1805</v>
      </c>
      <c r="B81" s="384" t="s">
        <v>1829</v>
      </c>
      <c r="C81" s="45" t="s">
        <v>1830</v>
      </c>
      <c r="D81" s="144">
        <v>40909</v>
      </c>
      <c r="E81" s="144">
        <v>43070</v>
      </c>
      <c r="F81" s="131" t="s">
        <v>1254</v>
      </c>
      <c r="G81" s="62" t="s">
        <v>1344</v>
      </c>
      <c r="H81" s="64" t="s">
        <v>1831</v>
      </c>
      <c r="I81" s="38"/>
      <c r="J81" s="63" t="s">
        <v>1832</v>
      </c>
      <c r="K81" s="64" t="s">
        <v>1833</v>
      </c>
      <c r="L81" s="64" t="s">
        <v>1834</v>
      </c>
      <c r="M81" s="65">
        <v>1</v>
      </c>
      <c r="N81" s="38"/>
      <c r="O81" s="91">
        <v>1</v>
      </c>
      <c r="P81" s="38"/>
      <c r="Q81" s="38"/>
      <c r="R81" s="38"/>
      <c r="S81" s="64" t="s">
        <v>1254</v>
      </c>
      <c r="T81" s="64" t="s">
        <v>1835</v>
      </c>
      <c r="U81" s="64" t="s">
        <v>1789</v>
      </c>
      <c r="V81" s="323"/>
      <c r="W81" s="35"/>
      <c r="X81" s="40"/>
      <c r="Y81" s="90" t="s">
        <v>1836</v>
      </c>
      <c r="Z81" s="35">
        <v>1</v>
      </c>
      <c r="AA81" s="40"/>
      <c r="AB81" s="90" t="s">
        <v>1836</v>
      </c>
      <c r="AC81" s="38"/>
      <c r="AD81" s="38"/>
      <c r="AE81" s="45"/>
      <c r="AF81" s="147"/>
      <c r="AG81" s="45"/>
      <c r="AH81" s="45"/>
      <c r="AI81" s="45"/>
      <c r="AJ81" s="45"/>
    </row>
    <row r="82" spans="1:36" s="87" customFormat="1" ht="128.25" customHeight="1" thickBot="1" x14ac:dyDescent="0.3">
      <c r="A82" s="386"/>
      <c r="B82" s="386"/>
      <c r="C82" s="45" t="s">
        <v>1837</v>
      </c>
      <c r="D82" s="144">
        <v>40909</v>
      </c>
      <c r="E82" s="144">
        <v>43070</v>
      </c>
      <c r="F82" s="131" t="s">
        <v>1254</v>
      </c>
      <c r="G82" s="62" t="s">
        <v>1344</v>
      </c>
      <c r="H82" s="38"/>
      <c r="I82" s="38"/>
      <c r="J82" s="63" t="s">
        <v>1838</v>
      </c>
      <c r="K82" s="64" t="s">
        <v>1839</v>
      </c>
      <c r="L82" s="64" t="s">
        <v>1799</v>
      </c>
      <c r="M82" s="65">
        <v>1</v>
      </c>
      <c r="N82" s="65">
        <v>0.2</v>
      </c>
      <c r="O82" s="91">
        <v>0.2</v>
      </c>
      <c r="P82" s="88">
        <v>0.2</v>
      </c>
      <c r="Q82" s="89">
        <v>0.2</v>
      </c>
      <c r="R82" s="79">
        <v>0.2</v>
      </c>
      <c r="S82" s="64" t="s">
        <v>1254</v>
      </c>
      <c r="T82" s="64" t="s">
        <v>1835</v>
      </c>
      <c r="U82" s="64" t="s">
        <v>1789</v>
      </c>
      <c r="V82" s="316" t="s">
        <v>1827</v>
      </c>
      <c r="W82" s="35">
        <v>1</v>
      </c>
      <c r="X82" s="40"/>
      <c r="Y82" s="90" t="s">
        <v>1840</v>
      </c>
      <c r="Z82" s="35">
        <v>1</v>
      </c>
      <c r="AA82" s="118" t="s">
        <v>1841</v>
      </c>
      <c r="AB82" s="90" t="s">
        <v>1840</v>
      </c>
      <c r="AC82" s="209" t="s">
        <v>533</v>
      </c>
      <c r="AD82" s="38"/>
      <c r="AE82" s="90" t="s">
        <v>1820</v>
      </c>
      <c r="AF82" s="147">
        <v>1</v>
      </c>
      <c r="AG82" s="45"/>
      <c r="AH82" s="58" t="s">
        <v>1820</v>
      </c>
      <c r="AI82" s="45"/>
      <c r="AJ82" s="45"/>
    </row>
    <row r="83" spans="1:36" s="87" customFormat="1" ht="150" hidden="1" customHeight="1" thickBot="1" x14ac:dyDescent="0.3">
      <c r="A83" s="381" t="s">
        <v>1842</v>
      </c>
      <c r="B83" s="384" t="s">
        <v>1843</v>
      </c>
      <c r="C83" s="45" t="s">
        <v>1844</v>
      </c>
      <c r="D83" s="144">
        <v>40909</v>
      </c>
      <c r="E83" s="144">
        <v>44896</v>
      </c>
      <c r="F83" s="131" t="s">
        <v>1254</v>
      </c>
      <c r="G83" s="62" t="s">
        <v>1344</v>
      </c>
      <c r="H83" s="64" t="s">
        <v>1845</v>
      </c>
      <c r="I83" s="38"/>
      <c r="J83" s="63" t="s">
        <v>1846</v>
      </c>
      <c r="K83" s="64" t="s">
        <v>1847</v>
      </c>
      <c r="L83" s="64" t="s">
        <v>101</v>
      </c>
      <c r="M83" s="65">
        <v>0.5</v>
      </c>
      <c r="N83" s="38"/>
      <c r="O83" s="65">
        <v>1</v>
      </c>
      <c r="P83" s="38"/>
      <c r="Q83" s="38"/>
      <c r="R83" s="38"/>
      <c r="S83" s="64" t="s">
        <v>1254</v>
      </c>
      <c r="T83" s="64" t="s">
        <v>1848</v>
      </c>
      <c r="U83" s="64" t="s">
        <v>1849</v>
      </c>
      <c r="V83" s="323"/>
      <c r="W83" s="35"/>
      <c r="X83" s="40"/>
      <c r="Y83" s="9"/>
      <c r="Z83" s="40"/>
      <c r="AA83" s="12"/>
      <c r="AB83" s="40"/>
      <c r="AC83" s="38"/>
      <c r="AD83" s="38"/>
      <c r="AE83" s="45"/>
      <c r="AF83" s="147"/>
      <c r="AG83" s="45"/>
      <c r="AH83" s="45"/>
      <c r="AI83" s="45"/>
      <c r="AJ83" s="45"/>
    </row>
    <row r="84" spans="1:36" s="87" customFormat="1" ht="171.75" customHeight="1" x14ac:dyDescent="0.25">
      <c r="A84" s="385"/>
      <c r="B84" s="385"/>
      <c r="C84" s="45" t="s">
        <v>1850</v>
      </c>
      <c r="D84" s="144">
        <v>40909</v>
      </c>
      <c r="E84" s="144">
        <v>44896</v>
      </c>
      <c r="F84" s="131" t="s">
        <v>1254</v>
      </c>
      <c r="G84" s="62" t="s">
        <v>1344</v>
      </c>
      <c r="H84" s="38"/>
      <c r="I84" s="38"/>
      <c r="J84" s="64"/>
      <c r="K84" s="64" t="s">
        <v>1851</v>
      </c>
      <c r="L84" s="64" t="s">
        <v>1852</v>
      </c>
      <c r="M84" s="65">
        <v>0.5</v>
      </c>
      <c r="N84" s="38"/>
      <c r="O84" s="38"/>
      <c r="P84" s="88">
        <v>0.33</v>
      </c>
      <c r="Q84" s="89">
        <v>0.33</v>
      </c>
      <c r="R84" s="79">
        <v>0.34</v>
      </c>
      <c r="S84" s="64" t="s">
        <v>1254</v>
      </c>
      <c r="T84" s="64" t="s">
        <v>1848</v>
      </c>
      <c r="U84" s="64" t="s">
        <v>1849</v>
      </c>
      <c r="V84" s="323"/>
      <c r="W84" s="35"/>
      <c r="X84" s="40"/>
      <c r="Y84" s="40"/>
      <c r="Z84" s="40"/>
      <c r="AA84" s="40"/>
      <c r="AB84" s="90" t="s">
        <v>1853</v>
      </c>
      <c r="AC84" s="209" t="s">
        <v>533</v>
      </c>
      <c r="AD84" s="38"/>
      <c r="AE84" s="140" t="s">
        <v>1854</v>
      </c>
      <c r="AF84" s="147">
        <v>1</v>
      </c>
      <c r="AG84" s="45"/>
      <c r="AH84" s="45"/>
      <c r="AI84" s="45"/>
      <c r="AJ84" s="45"/>
    </row>
    <row r="85" spans="1:36" s="87" customFormat="1" ht="143.25" hidden="1" customHeight="1" x14ac:dyDescent="0.25">
      <c r="A85" s="385"/>
      <c r="B85" s="385"/>
      <c r="C85" s="45" t="s">
        <v>1855</v>
      </c>
      <c r="D85" s="144">
        <v>40909</v>
      </c>
      <c r="E85" s="144">
        <v>44896</v>
      </c>
      <c r="F85" s="131" t="s">
        <v>1254</v>
      </c>
      <c r="G85" s="62" t="s">
        <v>1344</v>
      </c>
      <c r="H85" s="38"/>
      <c r="I85" s="38"/>
      <c r="J85" s="64"/>
      <c r="K85" s="64" t="s">
        <v>1856</v>
      </c>
      <c r="L85" s="38"/>
      <c r="M85" s="65"/>
      <c r="N85" s="38"/>
      <c r="O85" s="65"/>
      <c r="P85" s="38"/>
      <c r="Q85" s="65"/>
      <c r="R85" s="38"/>
      <c r="S85" s="64" t="s">
        <v>1254</v>
      </c>
      <c r="T85" s="64" t="s">
        <v>1848</v>
      </c>
      <c r="U85" s="64" t="s">
        <v>1849</v>
      </c>
      <c r="V85" s="323"/>
      <c r="W85" s="35"/>
      <c r="X85" s="40"/>
      <c r="Y85" s="40"/>
      <c r="Z85" s="40"/>
      <c r="AA85" s="40"/>
      <c r="AB85" s="40"/>
      <c r="AC85" s="38"/>
      <c r="AD85" s="38"/>
      <c r="AE85" s="45"/>
      <c r="AF85" s="147"/>
      <c r="AG85" s="45"/>
      <c r="AH85" s="45"/>
      <c r="AI85" s="45"/>
      <c r="AJ85" s="45"/>
    </row>
    <row r="86" spans="1:36" s="87" customFormat="1" ht="210" hidden="1" customHeight="1" x14ac:dyDescent="0.25">
      <c r="A86" s="406" t="s">
        <v>1857</v>
      </c>
      <c r="B86" s="384" t="s">
        <v>1858</v>
      </c>
      <c r="C86" s="45" t="s">
        <v>1859</v>
      </c>
      <c r="D86" s="144">
        <v>40909</v>
      </c>
      <c r="E86" s="144">
        <v>44896</v>
      </c>
      <c r="F86" s="131" t="s">
        <v>1254</v>
      </c>
      <c r="G86" s="62" t="s">
        <v>1344</v>
      </c>
      <c r="H86" s="64" t="s">
        <v>1860</v>
      </c>
      <c r="I86" s="38"/>
      <c r="J86" s="63" t="s">
        <v>1861</v>
      </c>
      <c r="K86" s="64" t="s">
        <v>1862</v>
      </c>
      <c r="L86" s="64" t="s">
        <v>101</v>
      </c>
      <c r="M86" s="65">
        <v>0.7</v>
      </c>
      <c r="N86" s="38"/>
      <c r="O86" s="91">
        <v>1</v>
      </c>
      <c r="P86" s="38"/>
      <c r="Q86" s="38"/>
      <c r="R86" s="38"/>
      <c r="S86" s="64" t="s">
        <v>1254</v>
      </c>
      <c r="T86" s="64" t="s">
        <v>1863</v>
      </c>
      <c r="U86" s="64" t="s">
        <v>1849</v>
      </c>
      <c r="V86" s="323"/>
      <c r="W86" s="35"/>
      <c r="X86" s="40"/>
      <c r="Y86" s="90" t="s">
        <v>1864</v>
      </c>
      <c r="Z86" s="35">
        <v>1</v>
      </c>
      <c r="AA86" s="40"/>
      <c r="AB86" s="40"/>
      <c r="AC86" s="38"/>
      <c r="AD86" s="38"/>
      <c r="AE86" s="45"/>
      <c r="AF86" s="147"/>
      <c r="AG86" s="45"/>
      <c r="AH86" s="45"/>
      <c r="AI86" s="45"/>
      <c r="AJ86" s="45"/>
    </row>
    <row r="87" spans="1:36" s="87" customFormat="1" ht="166.5" hidden="1" customHeight="1" x14ac:dyDescent="0.25">
      <c r="A87" s="457"/>
      <c r="B87" s="385"/>
      <c r="C87" s="45" t="s">
        <v>1865</v>
      </c>
      <c r="D87" s="144">
        <v>40909</v>
      </c>
      <c r="E87" s="144">
        <v>44896</v>
      </c>
      <c r="F87" s="131" t="s">
        <v>1254</v>
      </c>
      <c r="G87" s="62" t="s">
        <v>1344</v>
      </c>
      <c r="H87" s="38"/>
      <c r="I87" s="38"/>
      <c r="J87" s="64"/>
      <c r="K87" s="64" t="s">
        <v>1866</v>
      </c>
      <c r="L87" s="64" t="s">
        <v>1867</v>
      </c>
      <c r="M87" s="65">
        <v>0.3</v>
      </c>
      <c r="N87" s="38"/>
      <c r="O87" s="91">
        <v>1</v>
      </c>
      <c r="P87" s="38"/>
      <c r="Q87" s="38"/>
      <c r="R87" s="38"/>
      <c r="S87" s="64" t="s">
        <v>1254</v>
      </c>
      <c r="T87" s="64" t="s">
        <v>1863</v>
      </c>
      <c r="U87" s="64" t="s">
        <v>1849</v>
      </c>
      <c r="V87" s="323"/>
      <c r="W87" s="35"/>
      <c r="X87" s="40"/>
      <c r="Y87" s="90" t="s">
        <v>1868</v>
      </c>
      <c r="Z87" s="35">
        <v>1</v>
      </c>
      <c r="AA87" s="40"/>
      <c r="AB87" s="40"/>
      <c r="AC87" s="38"/>
      <c r="AD87" s="38"/>
      <c r="AE87" s="45"/>
      <c r="AF87" s="147"/>
      <c r="AG87" s="45"/>
      <c r="AH87" s="45"/>
      <c r="AI87" s="45"/>
      <c r="AJ87" s="45"/>
    </row>
    <row r="88" spans="1:36" s="87" customFormat="1" ht="239.25" hidden="1" customHeight="1" x14ac:dyDescent="0.25">
      <c r="A88" s="457"/>
      <c r="B88" s="385"/>
      <c r="C88" s="45" t="s">
        <v>1869</v>
      </c>
      <c r="D88" s="144">
        <v>40909</v>
      </c>
      <c r="E88" s="144">
        <v>44896</v>
      </c>
      <c r="F88" s="131" t="s">
        <v>1254</v>
      </c>
      <c r="G88" s="62" t="s">
        <v>1344</v>
      </c>
      <c r="H88" s="38"/>
      <c r="I88" s="38"/>
      <c r="J88" s="64"/>
      <c r="K88" s="64"/>
      <c r="L88" s="38"/>
      <c r="M88" s="38"/>
      <c r="N88" s="38"/>
      <c r="O88" s="38"/>
      <c r="P88" s="38"/>
      <c r="Q88" s="38"/>
      <c r="R88" s="38"/>
      <c r="S88" s="64" t="s">
        <v>1254</v>
      </c>
      <c r="T88" s="38"/>
      <c r="U88" s="38"/>
      <c r="V88" s="323"/>
      <c r="W88" s="35"/>
      <c r="X88" s="40"/>
      <c r="Y88" s="40"/>
      <c r="Z88" s="40"/>
      <c r="AA88" s="40"/>
      <c r="AB88" s="40"/>
      <c r="AC88" s="38"/>
      <c r="AD88" s="38"/>
      <c r="AE88" s="45"/>
      <c r="AF88" s="147"/>
      <c r="AG88" s="45"/>
      <c r="AH88" s="45"/>
      <c r="AI88" s="45"/>
      <c r="AJ88" s="45"/>
    </row>
    <row r="89" spans="1:36" s="87" customFormat="1" ht="114.75" hidden="1" customHeight="1" x14ac:dyDescent="0.25">
      <c r="A89" s="457"/>
      <c r="B89" s="386"/>
      <c r="C89" s="45" t="s">
        <v>1870</v>
      </c>
      <c r="D89" s="144">
        <v>40909</v>
      </c>
      <c r="E89" s="144">
        <v>44896</v>
      </c>
      <c r="F89" s="131" t="s">
        <v>1254</v>
      </c>
      <c r="G89" s="62" t="s">
        <v>1344</v>
      </c>
      <c r="H89" s="38"/>
      <c r="I89" s="38"/>
      <c r="J89" s="64"/>
      <c r="K89" s="64"/>
      <c r="L89" s="38"/>
      <c r="M89" s="38"/>
      <c r="N89" s="38"/>
      <c r="O89" s="38"/>
      <c r="P89" s="38"/>
      <c r="Q89" s="38"/>
      <c r="R89" s="38"/>
      <c r="S89" s="64" t="s">
        <v>1254</v>
      </c>
      <c r="T89" s="38"/>
      <c r="U89" s="38"/>
      <c r="V89" s="323"/>
      <c r="W89" s="35"/>
      <c r="X89" s="40"/>
      <c r="Y89" s="40"/>
      <c r="Z89" s="40"/>
      <c r="AA89" s="40"/>
      <c r="AB89" s="40"/>
      <c r="AC89" s="38"/>
      <c r="AD89" s="38"/>
      <c r="AE89" s="45"/>
      <c r="AF89" s="147"/>
      <c r="AG89" s="45"/>
      <c r="AH89" s="45"/>
      <c r="AI89" s="45"/>
      <c r="AJ89" s="45"/>
    </row>
    <row r="90" spans="1:36" s="87" customFormat="1" ht="274.5" hidden="1" customHeight="1" x14ac:dyDescent="0.25">
      <c r="A90" s="402" t="s">
        <v>1857</v>
      </c>
      <c r="B90" s="384" t="s">
        <v>1871</v>
      </c>
      <c r="C90" s="45" t="s">
        <v>1872</v>
      </c>
      <c r="D90" s="144">
        <v>40909</v>
      </c>
      <c r="E90" s="144">
        <v>44896</v>
      </c>
      <c r="F90" s="131" t="s">
        <v>1254</v>
      </c>
      <c r="G90" s="62" t="s">
        <v>1344</v>
      </c>
      <c r="H90" s="64" t="s">
        <v>1873</v>
      </c>
      <c r="I90" s="38"/>
      <c r="J90" s="63" t="s">
        <v>1874</v>
      </c>
      <c r="K90" s="64" t="s">
        <v>1875</v>
      </c>
      <c r="L90" s="64" t="s">
        <v>101</v>
      </c>
      <c r="M90" s="65">
        <v>0.5</v>
      </c>
      <c r="N90" s="38"/>
      <c r="O90" s="38"/>
      <c r="P90" s="38"/>
      <c r="Q90" s="89"/>
      <c r="R90" s="38"/>
      <c r="S90" s="64" t="s">
        <v>1254</v>
      </c>
      <c r="T90" s="64" t="s">
        <v>1876</v>
      </c>
      <c r="U90" s="64" t="s">
        <v>1849</v>
      </c>
      <c r="V90" s="323"/>
      <c r="W90" s="35"/>
      <c r="X90" s="40"/>
      <c r="Y90" s="40"/>
      <c r="Z90" s="40"/>
      <c r="AA90" s="40"/>
      <c r="AB90" s="40"/>
      <c r="AC90" s="38"/>
      <c r="AD90" s="38"/>
      <c r="AE90" s="45" t="s">
        <v>68</v>
      </c>
      <c r="AF90" s="147"/>
      <c r="AG90" s="45"/>
      <c r="AH90" s="45"/>
      <c r="AI90" s="45"/>
      <c r="AJ90" s="45"/>
    </row>
    <row r="91" spans="1:36" s="87" customFormat="1" ht="216.75" hidden="1" customHeight="1" x14ac:dyDescent="0.25">
      <c r="A91" s="385"/>
      <c r="B91" s="385"/>
      <c r="C91" s="45" t="s">
        <v>1877</v>
      </c>
      <c r="D91" s="144">
        <v>40909</v>
      </c>
      <c r="E91" s="144">
        <v>44896</v>
      </c>
      <c r="F91" s="131" t="s">
        <v>1254</v>
      </c>
      <c r="G91" s="62" t="s">
        <v>1344</v>
      </c>
      <c r="H91" s="38"/>
      <c r="I91" s="38"/>
      <c r="J91" s="64"/>
      <c r="K91" s="64" t="s">
        <v>1878</v>
      </c>
      <c r="L91" s="64" t="s">
        <v>1879</v>
      </c>
      <c r="M91" s="65">
        <v>0.25</v>
      </c>
      <c r="N91" s="38"/>
      <c r="O91" s="38"/>
      <c r="P91" s="38"/>
      <c r="Q91" s="38"/>
      <c r="R91" s="79"/>
      <c r="S91" s="64" t="s">
        <v>1254</v>
      </c>
      <c r="T91" s="64" t="s">
        <v>1876</v>
      </c>
      <c r="U91" s="64" t="s">
        <v>1849</v>
      </c>
      <c r="V91" s="323"/>
      <c r="W91" s="35"/>
      <c r="X91" s="40"/>
      <c r="Y91" s="40"/>
      <c r="Z91" s="40"/>
      <c r="AA91" s="40"/>
      <c r="AB91" s="40"/>
      <c r="AC91" s="211"/>
      <c r="AD91" s="38"/>
      <c r="AE91" s="45" t="s">
        <v>68</v>
      </c>
      <c r="AF91" s="147"/>
      <c r="AG91" s="45"/>
      <c r="AH91" s="58" t="s">
        <v>1880</v>
      </c>
      <c r="AI91" s="45"/>
      <c r="AJ91" s="45"/>
    </row>
    <row r="92" spans="1:36" s="87" customFormat="1" ht="184.5" hidden="1" customHeight="1" x14ac:dyDescent="0.25">
      <c r="A92" s="386"/>
      <c r="B92" s="386"/>
      <c r="C92" s="45" t="s">
        <v>1881</v>
      </c>
      <c r="D92" s="144">
        <v>40909</v>
      </c>
      <c r="E92" s="144">
        <v>44896</v>
      </c>
      <c r="F92" s="131" t="s">
        <v>1254</v>
      </c>
      <c r="G92" s="62" t="s">
        <v>1344</v>
      </c>
      <c r="H92" s="38"/>
      <c r="I92" s="38"/>
      <c r="J92" s="64"/>
      <c r="K92" s="64" t="s">
        <v>1882</v>
      </c>
      <c r="L92" s="64" t="s">
        <v>1879</v>
      </c>
      <c r="M92" s="65">
        <v>0.25</v>
      </c>
      <c r="N92" s="38"/>
      <c r="O92" s="38"/>
      <c r="P92" s="88">
        <v>1</v>
      </c>
      <c r="Q92" s="38"/>
      <c r="R92" s="38"/>
      <c r="S92" s="64" t="s">
        <v>1254</v>
      </c>
      <c r="T92" s="64" t="s">
        <v>1876</v>
      </c>
      <c r="U92" s="64" t="s">
        <v>1849</v>
      </c>
      <c r="V92" s="323"/>
      <c r="W92" s="35"/>
      <c r="X92" s="40"/>
      <c r="Y92" s="40"/>
      <c r="Z92" s="40"/>
      <c r="AA92" s="40"/>
      <c r="AB92" s="90" t="s">
        <v>1883</v>
      </c>
      <c r="AC92" s="58" t="s">
        <v>533</v>
      </c>
      <c r="AD92" s="38"/>
      <c r="AE92" s="45" t="s">
        <v>68</v>
      </c>
      <c r="AF92" s="147"/>
      <c r="AG92" s="45"/>
      <c r="AH92" s="45"/>
      <c r="AI92" s="45"/>
      <c r="AJ92" s="45"/>
    </row>
  </sheetData>
  <protectedRanges>
    <protectedRange sqref="V52" name="Rango1_4_7"/>
    <protectedRange sqref="V66" name="Rango1_4_1_4"/>
    <protectedRange sqref="V67" name="Rango1_4_2_4"/>
    <protectedRange sqref="V68" name="Rango1_4_3_4"/>
    <protectedRange sqref="V69:V70" name="Rango1_4_4_4"/>
    <protectedRange sqref="Y52" name="Rango1_4_8"/>
    <protectedRange sqref="Y78" name="Rango1_4"/>
    <protectedRange sqref="Y81" name="Rango1_4_1"/>
    <protectedRange sqref="Y82" name="Rango1_4_2"/>
    <protectedRange sqref="Y74" name="Rango1_4_2_1"/>
    <protectedRange sqref="Y75" name="Rango1_4_2_2"/>
    <protectedRange sqref="Y80" name="Rango1_4_2_3"/>
    <protectedRange sqref="AB17" name="Rango1_4_3"/>
    <protectedRange sqref="AB25" name="Rango1_4_4"/>
    <protectedRange sqref="AB30" name="Rango1_4_5"/>
    <protectedRange sqref="AB14" name="Rango1_4_6"/>
    <protectedRange sqref="AB24" name="Rango1_4_13"/>
    <protectedRange sqref="AB55" name="Rango1_4_14"/>
    <protectedRange sqref="AB52" name="Rango1_4_2_5"/>
    <protectedRange sqref="AB66" name="Rango1_4_2_6"/>
    <protectedRange sqref="AB67:AB69 AC66 AC68:AC70" name="Rango1_4_2_7"/>
    <protectedRange sqref="AB70" name="Rango1_4_2_8"/>
    <protectedRange sqref="AB38" name="Rango1_4_2_9"/>
    <protectedRange sqref="AB81" name="Rango1_4_16"/>
    <protectedRange sqref="AB82" name="Rango1_4_17"/>
    <protectedRange sqref="Y31" name="Rango1_4_15"/>
    <protectedRange sqref="Y58" name="Rango1_4_18"/>
    <protectedRange sqref="Y66" name="Rango1_4_21"/>
    <protectedRange sqref="Y67" name="Rango1_4_22"/>
    <protectedRange sqref="Y68" name="Rango1_4_23"/>
    <protectedRange sqref="Y69:Y70" name="Rango1_4_24"/>
    <protectedRange sqref="AE66" name="Rango1_4_9"/>
    <protectedRange sqref="AE67:AE70" name="Rango1_4_10"/>
    <protectedRange sqref="AE28" name="Rango1_4_11"/>
    <protectedRange sqref="AE40" name="Rango1_4_12"/>
    <protectedRange sqref="AE45" name="Rango1_4_19"/>
    <protectedRange sqref="AE52" name="Rango1_4_20"/>
    <protectedRange sqref="AE31" name="Rango1_4_25"/>
    <protectedRange sqref="AB31" name="Rango1_4_26"/>
    <protectedRange sqref="AE82" name="Rango1_4_27"/>
    <protectedRange sqref="AE74:AE75" name="Rango1_4_2_10"/>
    <protectedRange sqref="AE11" name="Rango1_4_28"/>
    <protectedRange sqref="AH24" name="Rango1_4_29"/>
    <protectedRange sqref="AH12" name="Rango1_4_30"/>
    <protectedRange sqref="AH17" name="Rango1_4_31"/>
    <protectedRange sqref="AH16" name="Rango1_4_32"/>
    <protectedRange sqref="AH28" name="Rango1_4_33"/>
    <protectedRange sqref="AH30" name="Rango1_4_34"/>
    <protectedRange sqref="AH23" name="Rango1_4_35"/>
    <protectedRange sqref="AH13" name="Rango1_4_36"/>
    <protectedRange sqref="AH67" name="Rango1_4_37"/>
    <protectedRange sqref="AH31" name="Rango1_4_38"/>
    <protectedRange sqref="AH66" name="Rango1_4_39"/>
    <protectedRange sqref="AH82" name="Rango1_4_40"/>
    <protectedRange sqref="AH78" name="Rango1_4_41"/>
    <protectedRange sqref="AH91" name="Rango1_4_42"/>
    <protectedRange sqref="AH74" name="Rango1_4_43"/>
    <protectedRange sqref="AH75" name="Rango1_4_44"/>
    <protectedRange sqref="AH38" name="Rango1_4_45"/>
  </protectedRanges>
  <mergeCells count="87">
    <mergeCell ref="AH6:AJ6"/>
    <mergeCell ref="H6:T6"/>
    <mergeCell ref="V6:X6"/>
    <mergeCell ref="Y6:AA6"/>
    <mergeCell ref="AB6:AD6"/>
    <mergeCell ref="AE6:AG6"/>
    <mergeCell ref="AH7:AJ7"/>
    <mergeCell ref="A8:A9"/>
    <mergeCell ref="B8:B9"/>
    <mergeCell ref="C8:C9"/>
    <mergeCell ref="D8:E8"/>
    <mergeCell ref="F8:F9"/>
    <mergeCell ref="G8:G9"/>
    <mergeCell ref="H8:H9"/>
    <mergeCell ref="I8:I9"/>
    <mergeCell ref="J8:J9"/>
    <mergeCell ref="A7:F7"/>
    <mergeCell ref="G7:U7"/>
    <mergeCell ref="V7:X7"/>
    <mergeCell ref="Y7:AA7"/>
    <mergeCell ref="AB7:AD7"/>
    <mergeCell ref="AE7:AG7"/>
    <mergeCell ref="K8:K9"/>
    <mergeCell ref="L8:L9"/>
    <mergeCell ref="M8:M9"/>
    <mergeCell ref="N8:R8"/>
    <mergeCell ref="S8:S9"/>
    <mergeCell ref="S17:S19"/>
    <mergeCell ref="T17:T19"/>
    <mergeCell ref="U17:U19"/>
    <mergeCell ref="AA8:AA9"/>
    <mergeCell ref="AB8:AB9"/>
    <mergeCell ref="U8:U9"/>
    <mergeCell ref="V8:V9"/>
    <mergeCell ref="W8:W9"/>
    <mergeCell ref="X8:X9"/>
    <mergeCell ref="Y8:Y9"/>
    <mergeCell ref="Z8:Z9"/>
    <mergeCell ref="T8:T9"/>
    <mergeCell ref="U24:U25"/>
    <mergeCell ref="AG8:AG9"/>
    <mergeCell ref="AH8:AH9"/>
    <mergeCell ref="AI8:AI9"/>
    <mergeCell ref="AJ8:AJ9"/>
    <mergeCell ref="AC8:AC9"/>
    <mergeCell ref="AD8:AD9"/>
    <mergeCell ref="AE8:AE9"/>
    <mergeCell ref="AF8:AF9"/>
    <mergeCell ref="S20:S22"/>
    <mergeCell ref="T20:T22"/>
    <mergeCell ref="U20:U22"/>
    <mergeCell ref="Y21:Y22"/>
    <mergeCell ref="Z21:Z22"/>
    <mergeCell ref="S26:S28"/>
    <mergeCell ref="T26:T28"/>
    <mergeCell ref="U26:U27"/>
    <mergeCell ref="U37:U38"/>
    <mergeCell ref="S39:S40"/>
    <mergeCell ref="T39:T40"/>
    <mergeCell ref="S42:S44"/>
    <mergeCell ref="T42:T43"/>
    <mergeCell ref="U42:U43"/>
    <mergeCell ref="U44:U45"/>
    <mergeCell ref="S46:S47"/>
    <mergeCell ref="T46:T47"/>
    <mergeCell ref="U46:U47"/>
    <mergeCell ref="U49:U50"/>
    <mergeCell ref="S53:S55"/>
    <mergeCell ref="U53:U55"/>
    <mergeCell ref="X67:X69"/>
    <mergeCell ref="A72:A75"/>
    <mergeCell ref="B72:B75"/>
    <mergeCell ref="A86:A89"/>
    <mergeCell ref="B86:B89"/>
    <mergeCell ref="A90:A92"/>
    <mergeCell ref="B90:B92"/>
    <mergeCell ref="J10:J11"/>
    <mergeCell ref="J26:J27"/>
    <mergeCell ref="J42:J45"/>
    <mergeCell ref="J76:J80"/>
    <mergeCell ref="A76:A80"/>
    <mergeCell ref="B76:B80"/>
    <mergeCell ref="A81:A82"/>
    <mergeCell ref="B81:B82"/>
    <mergeCell ref="A83:A85"/>
    <mergeCell ref="B83:B85"/>
    <mergeCell ref="A10:A13"/>
  </mergeCells>
  <printOptions horizontalCentered="1" verticalCentered="1"/>
  <pageMargins left="0.70866141732283472" right="0.70866141732283472" top="0.74803149606299213" bottom="0.74803149606299213" header="0.31496062992125984" footer="0.31496062992125984"/>
  <pageSetup paperSize="9" scale="55"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413"/>
  <sheetViews>
    <sheetView tabSelected="1" topLeftCell="A274" workbookViewId="0">
      <selection activeCell="Z280" sqref="Z280"/>
    </sheetView>
  </sheetViews>
  <sheetFormatPr baseColWidth="10" defaultRowHeight="15" x14ac:dyDescent="0.25"/>
  <cols>
    <col min="1" max="1" width="6.28515625" customWidth="1"/>
    <col min="2" max="2" width="60.85546875" customWidth="1"/>
    <col min="4" max="4" width="10.140625" hidden="1" customWidth="1"/>
    <col min="5" max="6" width="10.5703125" hidden="1" customWidth="1"/>
    <col min="7" max="7" width="10.28515625" hidden="1" customWidth="1"/>
    <col min="8" max="8" width="9.28515625" style="373" hidden="1" customWidth="1"/>
    <col min="9" max="9" width="9.42578125" hidden="1" customWidth="1"/>
    <col min="10" max="10" width="9.28515625" hidden="1" customWidth="1"/>
    <col min="11" max="12" width="17.28515625" hidden="1" customWidth="1"/>
    <col min="13" max="13" width="14.85546875" hidden="1" customWidth="1"/>
    <col min="14" max="14" width="8.28515625" customWidth="1"/>
    <col min="15" max="15" width="9.28515625" customWidth="1"/>
    <col min="16" max="16" width="12.5703125" customWidth="1"/>
    <col min="17" max="17" width="15.85546875" hidden="1" customWidth="1"/>
    <col min="18" max="18" width="12.5703125" hidden="1" customWidth="1"/>
    <col min="19" max="19" width="7.85546875" hidden="1" customWidth="1"/>
    <col min="20" max="22" width="13.5703125" hidden="1" customWidth="1"/>
    <col min="23" max="23" width="16.85546875" hidden="1" customWidth="1"/>
    <col min="24" max="24" width="20.5703125" style="325" hidden="1" customWidth="1"/>
    <col min="25" max="25" width="13.5703125" customWidth="1"/>
    <col min="26" max="26" width="18" customWidth="1"/>
    <col min="28" max="28" width="16.42578125" customWidth="1"/>
    <col min="34" max="34" width="17" customWidth="1"/>
  </cols>
  <sheetData>
    <row r="1" spans="1:23" ht="18.75" x14ac:dyDescent="0.3">
      <c r="A1" s="535" t="s">
        <v>1</v>
      </c>
      <c r="B1" s="535"/>
      <c r="C1" s="535"/>
      <c r="D1" s="535"/>
      <c r="E1" s="535"/>
      <c r="F1" s="535"/>
      <c r="G1" s="535"/>
      <c r="H1" s="535"/>
      <c r="I1" s="535"/>
      <c r="J1" s="535"/>
      <c r="K1" s="535"/>
      <c r="L1" s="535"/>
      <c r="M1" s="535"/>
      <c r="N1" s="535"/>
      <c r="O1" s="535"/>
      <c r="P1" s="535"/>
      <c r="Q1" s="535"/>
      <c r="R1" s="535"/>
      <c r="S1" s="535"/>
      <c r="T1" s="535"/>
      <c r="U1" s="324"/>
      <c r="V1" s="324"/>
      <c r="W1" s="324"/>
    </row>
    <row r="2" spans="1:23" ht="18.75" x14ac:dyDescent="0.3">
      <c r="A2" s="535" t="s">
        <v>1884</v>
      </c>
      <c r="B2" s="535"/>
      <c r="C2" s="535"/>
      <c r="D2" s="535"/>
      <c r="E2" s="535"/>
      <c r="F2" s="535"/>
      <c r="G2" s="535"/>
      <c r="H2" s="535"/>
      <c r="I2" s="535"/>
      <c r="J2" s="535"/>
      <c r="K2" s="535"/>
      <c r="L2" s="535"/>
      <c r="M2" s="535"/>
      <c r="N2" s="535"/>
      <c r="O2" s="535"/>
      <c r="P2" s="535"/>
      <c r="Q2" s="535"/>
      <c r="R2" s="535"/>
      <c r="S2" s="535"/>
      <c r="T2" s="535"/>
      <c r="U2" s="324"/>
      <c r="V2" s="324"/>
      <c r="W2" s="324"/>
    </row>
    <row r="3" spans="1:23" ht="18.75" x14ac:dyDescent="0.3">
      <c r="A3" s="535" t="s">
        <v>1885</v>
      </c>
      <c r="B3" s="535"/>
      <c r="C3" s="535"/>
      <c r="D3" s="535"/>
      <c r="E3" s="535"/>
      <c r="F3" s="535"/>
      <c r="G3" s="535"/>
      <c r="H3" s="535"/>
      <c r="I3" s="535"/>
      <c r="J3" s="535"/>
      <c r="K3" s="535"/>
      <c r="L3" s="535"/>
      <c r="M3" s="535"/>
      <c r="N3" s="535"/>
      <c r="O3" s="535"/>
      <c r="P3" s="535"/>
      <c r="Q3" s="535"/>
      <c r="R3" s="535"/>
      <c r="S3" s="535"/>
      <c r="T3" s="535"/>
      <c r="U3" s="324"/>
      <c r="V3" s="324"/>
      <c r="W3" s="324"/>
    </row>
    <row r="4" spans="1:23" ht="18.75" x14ac:dyDescent="0.3">
      <c r="A4" s="535" t="s">
        <v>1886</v>
      </c>
      <c r="B4" s="535"/>
      <c r="C4" s="535"/>
      <c r="D4" s="535"/>
      <c r="E4" s="535"/>
      <c r="F4" s="535"/>
      <c r="G4" s="535"/>
      <c r="H4" s="535"/>
      <c r="I4" s="535"/>
      <c r="J4" s="535"/>
      <c r="K4" s="535"/>
      <c r="L4" s="535"/>
      <c r="M4" s="535"/>
      <c r="N4" s="535"/>
      <c r="O4" s="535"/>
      <c r="P4" s="535"/>
      <c r="Q4" s="535"/>
      <c r="R4" s="535"/>
      <c r="S4" s="535"/>
      <c r="T4" s="535"/>
      <c r="U4" s="324"/>
      <c r="V4" s="324"/>
      <c r="W4" s="324"/>
    </row>
    <row r="5" spans="1:23" ht="18.75" x14ac:dyDescent="0.3">
      <c r="A5" s="535" t="s">
        <v>2224</v>
      </c>
      <c r="B5" s="535"/>
      <c r="C5" s="535"/>
      <c r="D5" s="535"/>
      <c r="E5" s="535"/>
      <c r="F5" s="535"/>
      <c r="G5" s="535"/>
      <c r="H5" s="535"/>
      <c r="I5" s="535"/>
      <c r="J5" s="535"/>
      <c r="K5" s="535"/>
      <c r="L5" s="535"/>
      <c r="M5" s="535"/>
      <c r="N5" s="535"/>
      <c r="O5" s="535"/>
      <c r="P5" s="535"/>
      <c r="Q5" s="535"/>
      <c r="R5" s="535"/>
      <c r="S5" s="535"/>
      <c r="T5" s="535"/>
    </row>
    <row r="6" spans="1:23" x14ac:dyDescent="0.25">
      <c r="A6" s="574" t="s">
        <v>1887</v>
      </c>
      <c r="B6" s="575"/>
      <c r="C6" s="537" t="s">
        <v>1888</v>
      </c>
      <c r="D6" s="577" t="s">
        <v>1889</v>
      </c>
      <c r="E6" s="578"/>
      <c r="F6" s="578"/>
      <c r="G6" s="578"/>
      <c r="H6" s="578"/>
      <c r="I6" s="578"/>
      <c r="J6" s="578"/>
      <c r="K6" s="578"/>
      <c r="L6" s="578"/>
      <c r="M6" s="578"/>
      <c r="N6" s="578"/>
      <c r="O6" s="578"/>
      <c r="P6" s="578"/>
      <c r="Q6" s="578"/>
      <c r="R6" s="578"/>
      <c r="S6" s="578"/>
      <c r="T6" s="579"/>
      <c r="U6" s="534" t="s">
        <v>1890</v>
      </c>
      <c r="V6" s="534"/>
      <c r="W6" s="534"/>
    </row>
    <row r="7" spans="1:23" ht="45" x14ac:dyDescent="0.25">
      <c r="A7" s="568"/>
      <c r="B7" s="576"/>
      <c r="C7" s="538" t="s">
        <v>1888</v>
      </c>
      <c r="D7" s="326">
        <v>2012</v>
      </c>
      <c r="E7" s="326" t="s">
        <v>1891</v>
      </c>
      <c r="F7" s="326" t="s">
        <v>1892</v>
      </c>
      <c r="G7" s="326">
        <v>2013</v>
      </c>
      <c r="H7" s="326" t="s">
        <v>1891</v>
      </c>
      <c r="I7" s="326" t="s">
        <v>1892</v>
      </c>
      <c r="J7" s="326">
        <v>2014</v>
      </c>
      <c r="K7" s="326" t="s">
        <v>1891</v>
      </c>
      <c r="L7" s="326" t="s">
        <v>1892</v>
      </c>
      <c r="M7" s="326" t="s">
        <v>1893</v>
      </c>
      <c r="N7" s="326">
        <v>2015</v>
      </c>
      <c r="O7" s="326" t="s">
        <v>1891</v>
      </c>
      <c r="P7" s="326" t="s">
        <v>1892</v>
      </c>
      <c r="Q7" s="327" t="s">
        <v>1894</v>
      </c>
      <c r="R7" s="327" t="s">
        <v>1895</v>
      </c>
      <c r="S7" s="326">
        <v>2016</v>
      </c>
      <c r="T7" s="326" t="s">
        <v>1896</v>
      </c>
      <c r="U7" s="328" t="s">
        <v>1897</v>
      </c>
      <c r="V7" s="328" t="s">
        <v>1898</v>
      </c>
      <c r="W7" s="328" t="s">
        <v>1899</v>
      </c>
    </row>
    <row r="8" spans="1:23" x14ac:dyDescent="0.25">
      <c r="A8" s="546" t="s">
        <v>1900</v>
      </c>
      <c r="B8" s="573"/>
      <c r="C8" s="567">
        <v>0.1</v>
      </c>
      <c r="D8" s="552">
        <f>+D238</f>
        <v>0.2</v>
      </c>
      <c r="E8" s="552">
        <f>+E238</f>
        <v>0.16700000000000001</v>
      </c>
      <c r="F8" s="552">
        <f>+E8/D8</f>
        <v>0.83499999999999996</v>
      </c>
      <c r="G8" s="552">
        <f>+G238</f>
        <v>0.19000000000000003</v>
      </c>
      <c r="H8" s="552">
        <f>+H238</f>
        <v>0.14500000000000002</v>
      </c>
      <c r="I8" s="561">
        <f>+H8/G8</f>
        <v>0.76315789473684204</v>
      </c>
      <c r="J8" s="552">
        <f>+J238</f>
        <v>0.14990000000000001</v>
      </c>
      <c r="K8" s="552">
        <f>+K238</f>
        <v>0.128025</v>
      </c>
      <c r="L8" s="561">
        <f>+K8/J8</f>
        <v>0.85406937958639084</v>
      </c>
      <c r="M8" s="552">
        <f>+M238</f>
        <v>2.0000000000000004E-2</v>
      </c>
      <c r="N8" s="552">
        <f>+N238</f>
        <v>0.18490000000000001</v>
      </c>
      <c r="O8" s="552">
        <f>+O238</f>
        <v>0.17300000000000001</v>
      </c>
      <c r="P8" s="552">
        <f>+O8/N8</f>
        <v>0.93564088696592751</v>
      </c>
      <c r="Q8" s="552">
        <f>+Q238</f>
        <v>0</v>
      </c>
      <c r="R8" s="552">
        <f>+R238</f>
        <v>8.9999999999999993E-3</v>
      </c>
      <c r="S8" s="552">
        <f>+S238</f>
        <v>0.27515000000000001</v>
      </c>
      <c r="T8" s="559">
        <f>+D8+G8+J8+N8+S8</f>
        <v>0.99995000000000012</v>
      </c>
      <c r="U8" s="544">
        <f>+D8+G8+J8+N8</f>
        <v>0.72480000000000011</v>
      </c>
      <c r="V8" s="544">
        <f>+E8+H8+K8+M8+O8+Q8+R8</f>
        <v>0.64202500000000007</v>
      </c>
      <c r="W8" s="544">
        <f>+V8/U8</f>
        <v>0.88579608167770418</v>
      </c>
    </row>
    <row r="9" spans="1:23" x14ac:dyDescent="0.25">
      <c r="A9" s="548"/>
      <c r="B9" s="549"/>
      <c r="C9" s="568"/>
      <c r="D9" s="558"/>
      <c r="E9" s="558"/>
      <c r="F9" s="558"/>
      <c r="G9" s="558"/>
      <c r="H9" s="558"/>
      <c r="I9" s="562"/>
      <c r="J9" s="558"/>
      <c r="K9" s="558"/>
      <c r="L9" s="562"/>
      <c r="M9" s="558"/>
      <c r="N9" s="558"/>
      <c r="O9" s="558"/>
      <c r="P9" s="558"/>
      <c r="Q9" s="558"/>
      <c r="R9" s="558"/>
      <c r="S9" s="558"/>
      <c r="T9" s="560"/>
      <c r="U9" s="545"/>
      <c r="V9" s="545"/>
      <c r="W9" s="545"/>
    </row>
    <row r="10" spans="1:23" x14ac:dyDescent="0.25">
      <c r="A10" s="546" t="s">
        <v>1901</v>
      </c>
      <c r="B10" s="573"/>
      <c r="C10" s="567">
        <v>0.1</v>
      </c>
      <c r="D10" s="552">
        <f>+D285</f>
        <v>0.33750000000000008</v>
      </c>
      <c r="E10" s="552">
        <f>+E285</f>
        <v>0.28073750000000003</v>
      </c>
      <c r="F10" s="552">
        <f t="shared" ref="F10" si="0">+E10/D10</f>
        <v>0.83181481481481467</v>
      </c>
      <c r="G10" s="552">
        <f>+G285</f>
        <v>0.25375000000000009</v>
      </c>
      <c r="H10" s="552">
        <f>+H285</f>
        <v>0.17000000000000007</v>
      </c>
      <c r="I10" s="561">
        <f>+H10/G10</f>
        <v>0.66995073891625623</v>
      </c>
      <c r="J10" s="552">
        <f>+J285</f>
        <v>0.13005000000000003</v>
      </c>
      <c r="K10" s="552">
        <f>+K285</f>
        <v>0.12401200000000005</v>
      </c>
      <c r="L10" s="561">
        <f>+K10/J10</f>
        <v>0.95357170319108053</v>
      </c>
      <c r="M10" s="552">
        <f>+M285</f>
        <v>1.84E-2</v>
      </c>
      <c r="N10" s="552">
        <f>+N285</f>
        <v>0.14545000000000002</v>
      </c>
      <c r="O10" s="552">
        <f>+O285</f>
        <v>0.11050000000000003</v>
      </c>
      <c r="P10" s="552">
        <f t="shared" ref="P10" si="1">+O10/N10</f>
        <v>0.75971124097628062</v>
      </c>
      <c r="Q10" s="552">
        <f>+Q285</f>
        <v>1.6E-2</v>
      </c>
      <c r="R10" s="552">
        <f>+R285</f>
        <v>3.2000000000000002E-3</v>
      </c>
      <c r="S10" s="552">
        <f>+S285</f>
        <v>0.13295000000000001</v>
      </c>
      <c r="T10" s="559">
        <f>+D10+G10+J10+N10+S10</f>
        <v>0.99970000000000014</v>
      </c>
      <c r="U10" s="544">
        <f t="shared" ref="U10" si="2">+D10+G10+J10+N10</f>
        <v>0.86675000000000013</v>
      </c>
      <c r="V10" s="544">
        <f t="shared" ref="V10" si="3">+E10+H10+K10+M10+O10+Q10+R10</f>
        <v>0.72284950000000014</v>
      </c>
      <c r="W10" s="544">
        <f t="shared" ref="W10" si="4">+V10/U10</f>
        <v>0.83397692529564471</v>
      </c>
    </row>
    <row r="11" spans="1:23" x14ac:dyDescent="0.25">
      <c r="A11" s="548"/>
      <c r="B11" s="549"/>
      <c r="C11" s="568"/>
      <c r="D11" s="558"/>
      <c r="E11" s="558"/>
      <c r="F11" s="558"/>
      <c r="G11" s="558"/>
      <c r="H11" s="558"/>
      <c r="I11" s="562"/>
      <c r="J11" s="558"/>
      <c r="K11" s="558"/>
      <c r="L11" s="562"/>
      <c r="M11" s="558"/>
      <c r="N11" s="558"/>
      <c r="O11" s="558"/>
      <c r="P11" s="558"/>
      <c r="Q11" s="558"/>
      <c r="R11" s="558"/>
      <c r="S11" s="558"/>
      <c r="T11" s="560"/>
      <c r="U11" s="545"/>
      <c r="V11" s="545"/>
      <c r="W11" s="545"/>
    </row>
    <row r="12" spans="1:23" x14ac:dyDescent="0.25">
      <c r="A12" s="546" t="s">
        <v>1902</v>
      </c>
      <c r="B12" s="573"/>
      <c r="C12" s="567">
        <v>0.15</v>
      </c>
      <c r="D12" s="552">
        <f>+D181</f>
        <v>0.16500000000000001</v>
      </c>
      <c r="E12" s="552">
        <f>+E181</f>
        <v>0.16500000000000001</v>
      </c>
      <c r="F12" s="552">
        <f t="shared" ref="F12" si="5">+E12/D12</f>
        <v>1</v>
      </c>
      <c r="G12" s="552">
        <f>+G181</f>
        <v>0.31500000000000006</v>
      </c>
      <c r="H12" s="552">
        <f>+H181</f>
        <v>0.11500000000000003</v>
      </c>
      <c r="I12" s="561">
        <f>+H12/G12</f>
        <v>0.36507936507936511</v>
      </c>
      <c r="J12" s="552">
        <f>+J181</f>
        <v>0.21000000000000002</v>
      </c>
      <c r="K12" s="552">
        <f>+K181</f>
        <v>0.18000000000000002</v>
      </c>
      <c r="L12" s="561">
        <f>+K12/J12</f>
        <v>0.85714285714285721</v>
      </c>
      <c r="M12" s="552">
        <f>+M181</f>
        <v>0</v>
      </c>
      <c r="N12" s="552">
        <f>+N181</f>
        <v>9.0000000000000011E-2</v>
      </c>
      <c r="O12" s="552">
        <f>+O181</f>
        <v>9.0499999999999997E-2</v>
      </c>
      <c r="P12" s="552">
        <f t="shared" ref="P12" si="6">+O12/N12</f>
        <v>1.0055555555555553</v>
      </c>
      <c r="Q12" s="552">
        <f>+Q181</f>
        <v>8.7999999999999995E-2</v>
      </c>
      <c r="R12" s="552">
        <f>+R181</f>
        <v>0</v>
      </c>
      <c r="S12" s="552">
        <f>+S181</f>
        <v>0.22000000000000003</v>
      </c>
      <c r="T12" s="559">
        <f>+D12+G12+J12+N12+S12</f>
        <v>1.0000000000000002</v>
      </c>
      <c r="U12" s="544">
        <f t="shared" ref="U12" si="7">+D12+G12+J12+N12</f>
        <v>0.78000000000000014</v>
      </c>
      <c r="V12" s="544">
        <f t="shared" ref="V12" si="8">+E12+H12+K12+M12+O12+Q12+R12</f>
        <v>0.63850000000000007</v>
      </c>
      <c r="W12" s="544">
        <f t="shared" ref="W12" si="9">+V12/U12</f>
        <v>0.81858974358974357</v>
      </c>
    </row>
    <row r="13" spans="1:23" x14ac:dyDescent="0.25">
      <c r="A13" s="548"/>
      <c r="B13" s="549"/>
      <c r="C13" s="568"/>
      <c r="D13" s="558"/>
      <c r="E13" s="558"/>
      <c r="F13" s="558"/>
      <c r="G13" s="558"/>
      <c r="H13" s="558"/>
      <c r="I13" s="562"/>
      <c r="J13" s="558"/>
      <c r="K13" s="558"/>
      <c r="L13" s="562"/>
      <c r="M13" s="558"/>
      <c r="N13" s="558"/>
      <c r="O13" s="558"/>
      <c r="P13" s="558"/>
      <c r="Q13" s="558"/>
      <c r="R13" s="558"/>
      <c r="S13" s="558"/>
      <c r="T13" s="560"/>
      <c r="U13" s="545"/>
      <c r="V13" s="545"/>
      <c r="W13" s="545"/>
    </row>
    <row r="14" spans="1:23" hidden="1" x14ac:dyDescent="0.25">
      <c r="A14" s="569" t="s">
        <v>1903</v>
      </c>
      <c r="B14" s="570"/>
      <c r="C14" s="567"/>
      <c r="D14" s="552"/>
      <c r="E14" s="552"/>
      <c r="F14" s="552"/>
      <c r="G14" s="552"/>
      <c r="H14" s="552"/>
      <c r="I14" s="561"/>
      <c r="J14" s="552"/>
      <c r="K14" s="552"/>
      <c r="L14" s="561"/>
      <c r="M14" s="552"/>
      <c r="N14" s="552"/>
      <c r="O14" s="552"/>
      <c r="P14" s="552"/>
      <c r="Q14" s="552"/>
      <c r="R14" s="552"/>
      <c r="S14" s="552"/>
      <c r="T14" s="559">
        <f>+D14+G14+J14+N14+S14</f>
        <v>0</v>
      </c>
      <c r="U14" s="544">
        <f t="shared" ref="U14" si="10">+D14+G14+J14+N14</f>
        <v>0</v>
      </c>
      <c r="V14" s="544">
        <f t="shared" ref="V14" si="11">+E14+H14+K14+M14+O14+Q14+R14</f>
        <v>0</v>
      </c>
      <c r="W14" s="544"/>
    </row>
    <row r="15" spans="1:23" hidden="1" x14ac:dyDescent="0.25">
      <c r="A15" s="571"/>
      <c r="B15" s="572"/>
      <c r="C15" s="568"/>
      <c r="D15" s="558"/>
      <c r="E15" s="558"/>
      <c r="F15" s="558"/>
      <c r="G15" s="558"/>
      <c r="H15" s="558"/>
      <c r="I15" s="562"/>
      <c r="J15" s="558"/>
      <c r="K15" s="558"/>
      <c r="L15" s="562"/>
      <c r="M15" s="558"/>
      <c r="N15" s="558"/>
      <c r="O15" s="558"/>
      <c r="P15" s="558"/>
      <c r="Q15" s="558"/>
      <c r="R15" s="558"/>
      <c r="S15" s="558"/>
      <c r="T15" s="560"/>
      <c r="U15" s="545"/>
      <c r="V15" s="545"/>
      <c r="W15" s="545"/>
    </row>
    <row r="16" spans="1:23" x14ac:dyDescent="0.25">
      <c r="A16" s="546" t="s">
        <v>1904</v>
      </c>
      <c r="B16" s="573"/>
      <c r="C16" s="567">
        <v>0.15</v>
      </c>
      <c r="D16" s="552">
        <f>+D210</f>
        <v>0.22500000000000001</v>
      </c>
      <c r="E16" s="552">
        <f>+E210</f>
        <v>0.15000000000000002</v>
      </c>
      <c r="F16" s="552">
        <f t="shared" ref="F16" si="12">+E16/D16</f>
        <v>0.66666666666666674</v>
      </c>
      <c r="G16" s="552">
        <f>+G210</f>
        <v>0.16250000000000001</v>
      </c>
      <c r="H16" s="552">
        <f>+H210</f>
        <v>0.140625</v>
      </c>
      <c r="I16" s="561">
        <f>+H16/G16</f>
        <v>0.86538461538461531</v>
      </c>
      <c r="J16" s="552">
        <f>+J210</f>
        <v>0.16250000000000001</v>
      </c>
      <c r="K16" s="552">
        <f>+K210</f>
        <v>0.16250000000000001</v>
      </c>
      <c r="L16" s="561">
        <f>+K16/J16</f>
        <v>1</v>
      </c>
      <c r="M16" s="552">
        <f>+M210</f>
        <v>2.2499999999999999E-2</v>
      </c>
      <c r="N16" s="552">
        <f>+N210</f>
        <v>0.22500000000000001</v>
      </c>
      <c r="O16" s="552">
        <f>+O210</f>
        <v>0.22500000000000001</v>
      </c>
      <c r="P16" s="552">
        <f t="shared" ref="P16" si="13">+O16/N16</f>
        <v>1</v>
      </c>
      <c r="Q16" s="552">
        <f>+Q210</f>
        <v>0</v>
      </c>
      <c r="R16" s="552">
        <f>+R210</f>
        <v>0</v>
      </c>
      <c r="S16" s="552">
        <f>+S210</f>
        <v>0.22500000000000001</v>
      </c>
      <c r="T16" s="559">
        <f>+D16+G16+J16+N16+S16</f>
        <v>1</v>
      </c>
      <c r="U16" s="544">
        <f t="shared" ref="U16" si="14">+D16+G16+J16+N16</f>
        <v>0.77500000000000002</v>
      </c>
      <c r="V16" s="544">
        <f t="shared" ref="V16" si="15">+E16+H16+K16+M16+O16+Q16+R16</f>
        <v>0.70062500000000005</v>
      </c>
      <c r="W16" s="544">
        <f t="shared" ref="W16" si="16">+V16/U16</f>
        <v>0.90403225806451615</v>
      </c>
    </row>
    <row r="17" spans="1:23" x14ac:dyDescent="0.25">
      <c r="A17" s="548"/>
      <c r="B17" s="549"/>
      <c r="C17" s="568"/>
      <c r="D17" s="558"/>
      <c r="E17" s="558"/>
      <c r="F17" s="558"/>
      <c r="G17" s="558"/>
      <c r="H17" s="558"/>
      <c r="I17" s="562"/>
      <c r="J17" s="558"/>
      <c r="K17" s="558"/>
      <c r="L17" s="562"/>
      <c r="M17" s="558"/>
      <c r="N17" s="558"/>
      <c r="O17" s="558"/>
      <c r="P17" s="558"/>
      <c r="Q17" s="558"/>
      <c r="R17" s="558"/>
      <c r="S17" s="558"/>
      <c r="T17" s="560"/>
      <c r="U17" s="545"/>
      <c r="V17" s="545"/>
      <c r="W17" s="545"/>
    </row>
    <row r="18" spans="1:23" x14ac:dyDescent="0.25">
      <c r="A18" s="563" t="s">
        <v>1905</v>
      </c>
      <c r="B18" s="564"/>
      <c r="C18" s="567">
        <v>0.17</v>
      </c>
      <c r="D18" s="552">
        <f>+D63</f>
        <v>0.17800000000000005</v>
      </c>
      <c r="E18" s="552">
        <f>+E63</f>
        <v>0.12800000000000003</v>
      </c>
      <c r="F18" s="552">
        <f t="shared" ref="F18" si="17">+E18/D18</f>
        <v>0.7191011235955056</v>
      </c>
      <c r="G18" s="552">
        <f>+G63</f>
        <v>0.2330000000000001</v>
      </c>
      <c r="H18" s="552">
        <f>+H63</f>
        <v>0.25800000000000006</v>
      </c>
      <c r="I18" s="561">
        <f>+H18/G18</f>
        <v>1.1072961373390555</v>
      </c>
      <c r="J18" s="552">
        <f>+J63</f>
        <v>0.14154000000000005</v>
      </c>
      <c r="K18" s="552">
        <f>+K63</f>
        <v>0.14154000000000005</v>
      </c>
      <c r="L18" s="561">
        <f>+K18/J18</f>
        <v>1</v>
      </c>
      <c r="M18" s="552">
        <f>+M63</f>
        <v>1.2000000000000002E-2</v>
      </c>
      <c r="N18" s="552">
        <f>+N63</f>
        <v>0.10354000000000005</v>
      </c>
      <c r="O18" s="552">
        <f>+O63</f>
        <v>9.958000000000003E-2</v>
      </c>
      <c r="P18" s="552">
        <f t="shared" ref="P18" si="18">+O18/N18</f>
        <v>0.96175391153177503</v>
      </c>
      <c r="Q18" s="552">
        <f>+Q63</f>
        <v>1.3000000000000001E-2</v>
      </c>
      <c r="R18" s="552">
        <f>+R63</f>
        <v>0</v>
      </c>
      <c r="S18" s="552">
        <f>+S63</f>
        <v>0.34392</v>
      </c>
      <c r="T18" s="559">
        <f>+D18+G18+J18+N18+S18</f>
        <v>1.0000000000000004</v>
      </c>
      <c r="U18" s="544">
        <f t="shared" ref="U18" si="19">+D18+G18+J18+N18</f>
        <v>0.65608000000000033</v>
      </c>
      <c r="V18" s="544">
        <f t="shared" ref="V18" si="20">+E18+H18+K18+M18+O18+Q18+R18</f>
        <v>0.65212000000000014</v>
      </c>
      <c r="W18" s="544">
        <f t="shared" ref="W18" si="21">+V18/U18</f>
        <v>0.99396415071332733</v>
      </c>
    </row>
    <row r="19" spans="1:23" x14ac:dyDescent="0.25">
      <c r="A19" s="565"/>
      <c r="B19" s="566"/>
      <c r="C19" s="568"/>
      <c r="D19" s="558"/>
      <c r="E19" s="558"/>
      <c r="F19" s="558"/>
      <c r="G19" s="558"/>
      <c r="H19" s="558"/>
      <c r="I19" s="562"/>
      <c r="J19" s="558"/>
      <c r="K19" s="558"/>
      <c r="L19" s="562"/>
      <c r="M19" s="558"/>
      <c r="N19" s="558"/>
      <c r="O19" s="558"/>
      <c r="P19" s="558"/>
      <c r="Q19" s="558"/>
      <c r="R19" s="558"/>
      <c r="S19" s="558"/>
      <c r="T19" s="560"/>
      <c r="U19" s="545"/>
      <c r="V19" s="545"/>
      <c r="W19" s="545"/>
    </row>
    <row r="20" spans="1:23" x14ac:dyDescent="0.25">
      <c r="A20" s="569" t="s">
        <v>1906</v>
      </c>
      <c r="B20" s="570"/>
      <c r="C20" s="567">
        <v>0.17</v>
      </c>
      <c r="D20" s="552">
        <f>+D91</f>
        <v>0.3781000000000001</v>
      </c>
      <c r="E20" s="552">
        <f>+E91</f>
        <v>0.26832800000000001</v>
      </c>
      <c r="F20" s="552">
        <f t="shared" ref="F20" si="22">+E20/D20</f>
        <v>0.7096746892356518</v>
      </c>
      <c r="G20" s="552">
        <f>+G91</f>
        <v>0.17765000000000003</v>
      </c>
      <c r="H20" s="552">
        <f>+H91</f>
        <v>0.17206200000000005</v>
      </c>
      <c r="I20" s="561">
        <f>+H20/G20</f>
        <v>0.96854489164086699</v>
      </c>
      <c r="J20" s="552">
        <f>+J91</f>
        <v>0.15225000000000005</v>
      </c>
      <c r="K20" s="552">
        <f>+K91</f>
        <v>0.12061150000000004</v>
      </c>
      <c r="L20" s="561">
        <f>+K20/J20</f>
        <v>0.79219376026272581</v>
      </c>
      <c r="M20" s="552">
        <f>+M91</f>
        <v>1.8E-3</v>
      </c>
      <c r="N20" s="552">
        <f>+N91</f>
        <v>0.14225000000000004</v>
      </c>
      <c r="O20" s="552">
        <f>+O91</f>
        <v>0.14177500000000004</v>
      </c>
      <c r="P20" s="552">
        <f t="shared" ref="P20" si="23">+O20/N20</f>
        <v>0.99666080843585236</v>
      </c>
      <c r="Q20" s="552">
        <f>+Q91</f>
        <v>2.7000000000000003E-2</v>
      </c>
      <c r="R20" s="552">
        <f>+R91</f>
        <v>2.5162500000000004E-2</v>
      </c>
      <c r="S20" s="552">
        <f>+S91</f>
        <v>0.14975000000000005</v>
      </c>
      <c r="T20" s="559">
        <f>+D20+G20+J20+N20+S20</f>
        <v>1.0000000000000002</v>
      </c>
      <c r="U20" s="544">
        <f t="shared" ref="U20" si="24">+D20+G20+J20+N20</f>
        <v>0.85025000000000017</v>
      </c>
      <c r="V20" s="544">
        <f t="shared" ref="V20" si="25">+E20+H20+K20+M20+O20+Q20+R20</f>
        <v>0.75673900000000016</v>
      </c>
      <c r="W20" s="544">
        <f t="shared" ref="W20" si="26">+V20/U20</f>
        <v>0.89001940605704211</v>
      </c>
    </row>
    <row r="21" spans="1:23" x14ac:dyDescent="0.25">
      <c r="A21" s="571"/>
      <c r="B21" s="572"/>
      <c r="C21" s="568"/>
      <c r="D21" s="558"/>
      <c r="E21" s="558"/>
      <c r="F21" s="558"/>
      <c r="G21" s="558"/>
      <c r="H21" s="558"/>
      <c r="I21" s="562"/>
      <c r="J21" s="558"/>
      <c r="K21" s="558"/>
      <c r="L21" s="562"/>
      <c r="M21" s="558"/>
      <c r="N21" s="558"/>
      <c r="O21" s="558"/>
      <c r="P21" s="558"/>
      <c r="Q21" s="558"/>
      <c r="R21" s="558"/>
      <c r="S21" s="558"/>
      <c r="T21" s="560"/>
      <c r="U21" s="545"/>
      <c r="V21" s="545"/>
      <c r="W21" s="545"/>
    </row>
    <row r="22" spans="1:23" x14ac:dyDescent="0.25">
      <c r="A22" s="563" t="s">
        <v>1907</v>
      </c>
      <c r="B22" s="564"/>
      <c r="C22" s="567">
        <v>0.16</v>
      </c>
      <c r="D22" s="552">
        <f>+D139</f>
        <v>0.3207000000000001</v>
      </c>
      <c r="E22" s="552">
        <f>+E139</f>
        <v>0.27394400000000008</v>
      </c>
      <c r="F22" s="552">
        <f>+E22/D22</f>
        <v>0.8542064234487059</v>
      </c>
      <c r="G22" s="552">
        <f>+G139</f>
        <v>0.25662500000000005</v>
      </c>
      <c r="H22" s="552">
        <f>+H139</f>
        <v>0.18882499999999999</v>
      </c>
      <c r="I22" s="561">
        <f>+H22/G22</f>
        <v>0.73580126643935684</v>
      </c>
      <c r="J22" s="552">
        <f>+J139</f>
        <v>0.18402500000000005</v>
      </c>
      <c r="K22" s="552">
        <f>+K139</f>
        <v>0.15862500000000004</v>
      </c>
      <c r="L22" s="561">
        <f>+K22/J22</f>
        <v>0.86197527509849203</v>
      </c>
      <c r="M22" s="552">
        <f>+M139</f>
        <v>1.5440000000000002E-2</v>
      </c>
      <c r="N22" s="552">
        <f>+N139</f>
        <v>0.10412500000000002</v>
      </c>
      <c r="O22" s="552">
        <f>+O139</f>
        <v>0.10030000000000003</v>
      </c>
      <c r="P22" s="552">
        <f t="shared" ref="P22" si="27">+O22/N22</f>
        <v>0.96326530612244898</v>
      </c>
      <c r="Q22" s="552">
        <f>+Q139</f>
        <v>0</v>
      </c>
      <c r="R22" s="552">
        <f>+R139</f>
        <v>2.76E-2</v>
      </c>
      <c r="S22" s="552">
        <f>+S139</f>
        <v>0.13452500000000003</v>
      </c>
      <c r="T22" s="559">
        <f>+D22+G22+J22+N22+S22</f>
        <v>1.0000000000000002</v>
      </c>
      <c r="U22" s="544">
        <f t="shared" ref="U22" si="28">+D22+G22+J22+N22</f>
        <v>0.86547500000000022</v>
      </c>
      <c r="V22" s="544">
        <f t="shared" ref="V22" si="29">+E22+H22+K22+M22+O22+Q22+R22</f>
        <v>0.76473400000000014</v>
      </c>
      <c r="W22" s="544">
        <f t="shared" ref="W22" si="30">+V22/U22</f>
        <v>0.88360033507611424</v>
      </c>
    </row>
    <row r="23" spans="1:23" x14ac:dyDescent="0.25">
      <c r="A23" s="565"/>
      <c r="B23" s="566"/>
      <c r="C23" s="568"/>
      <c r="D23" s="558"/>
      <c r="E23" s="558"/>
      <c r="F23" s="558"/>
      <c r="G23" s="558"/>
      <c r="H23" s="558"/>
      <c r="I23" s="562"/>
      <c r="J23" s="558"/>
      <c r="K23" s="558"/>
      <c r="L23" s="562"/>
      <c r="M23" s="558"/>
      <c r="N23" s="558"/>
      <c r="O23" s="558"/>
      <c r="P23" s="558"/>
      <c r="Q23" s="558"/>
      <c r="R23" s="558"/>
      <c r="S23" s="558"/>
      <c r="T23" s="560"/>
      <c r="U23" s="545"/>
      <c r="V23" s="545"/>
      <c r="W23" s="545"/>
    </row>
    <row r="24" spans="1:23" x14ac:dyDescent="0.25">
      <c r="A24" s="546" t="s">
        <v>1896</v>
      </c>
      <c r="B24" s="547"/>
      <c r="C24" s="550"/>
      <c r="D24" s="552"/>
      <c r="E24" s="553"/>
      <c r="F24" s="553"/>
      <c r="G24" s="553"/>
      <c r="H24" s="553"/>
      <c r="I24" s="553"/>
      <c r="J24" s="553"/>
      <c r="K24" s="553"/>
      <c r="L24" s="553"/>
      <c r="M24" s="553"/>
      <c r="N24" s="553"/>
      <c r="O24" s="553"/>
      <c r="P24" s="553"/>
      <c r="Q24" s="553"/>
      <c r="R24" s="553"/>
      <c r="S24" s="553"/>
      <c r="T24" s="554"/>
      <c r="U24" s="329"/>
      <c r="V24" s="329"/>
      <c r="W24" s="329"/>
    </row>
    <row r="25" spans="1:23" x14ac:dyDescent="0.25">
      <c r="A25" s="548"/>
      <c r="B25" s="549"/>
      <c r="C25" s="551"/>
      <c r="D25" s="555"/>
      <c r="E25" s="556"/>
      <c r="F25" s="556"/>
      <c r="G25" s="556"/>
      <c r="H25" s="556"/>
      <c r="I25" s="556"/>
      <c r="J25" s="556"/>
      <c r="K25" s="556"/>
      <c r="L25" s="556"/>
      <c r="M25" s="556"/>
      <c r="N25" s="556"/>
      <c r="O25" s="556"/>
      <c r="P25" s="556"/>
      <c r="Q25" s="556"/>
      <c r="R25" s="556"/>
      <c r="S25" s="556"/>
      <c r="T25" s="557"/>
      <c r="U25" s="329"/>
      <c r="V25" s="329"/>
      <c r="W25" s="329"/>
    </row>
    <row r="26" spans="1:23" x14ac:dyDescent="0.25">
      <c r="A26" s="531" t="s">
        <v>1908</v>
      </c>
      <c r="B26" s="532"/>
      <c r="C26" s="330">
        <f>SUM(C8:C23)</f>
        <v>1</v>
      </c>
      <c r="D26" s="331">
        <f t="shared" ref="D26:S26" si="31">+D8*$C$8+D10*$C$10+D12*$C$12+D14*$C$14+D16*$C$16+D18*$C$18+D20*$C$20+D22*$C$22</f>
        <v>0.25809900000000008</v>
      </c>
      <c r="E26" s="331">
        <f t="shared" si="31"/>
        <v>0.20323055000000004</v>
      </c>
      <c r="F26" s="331">
        <f>+E26/D26</f>
        <v>0.78741316316607179</v>
      </c>
      <c r="G26" s="331">
        <f t="shared" si="31"/>
        <v>0.22687050000000006</v>
      </c>
      <c r="H26" s="331">
        <f t="shared" si="31"/>
        <v>0.17316629000000003</v>
      </c>
      <c r="I26" s="331">
        <f>+H26/G26</f>
        <v>0.76328253342766017</v>
      </c>
      <c r="J26" s="331">
        <f t="shared" si="31"/>
        <v>0.16325830000000002</v>
      </c>
      <c r="K26" s="331">
        <f t="shared" si="31"/>
        <v>0.14652445500000003</v>
      </c>
      <c r="L26" s="331">
        <f t="shared" si="31"/>
        <v>0.90192452010959789</v>
      </c>
      <c r="M26" s="331">
        <f t="shared" si="31"/>
        <v>1.2031400000000003E-2</v>
      </c>
      <c r="N26" s="331">
        <f t="shared" si="31"/>
        <v>0.13872930000000003</v>
      </c>
      <c r="O26" s="331">
        <f t="shared" si="31"/>
        <v>0.13275335000000002</v>
      </c>
      <c r="P26" s="331">
        <f>+O26/N26</f>
        <v>0.95692366356638425</v>
      </c>
      <c r="Q26" s="331">
        <f t="shared" si="31"/>
        <v>2.1599999999999998E-2</v>
      </c>
      <c r="R26" s="331">
        <f t="shared" si="31"/>
        <v>9.9136250000000006E-3</v>
      </c>
      <c r="S26" s="331">
        <f t="shared" si="31"/>
        <v>0.21300790000000006</v>
      </c>
      <c r="T26" s="331">
        <f>+D26+G26+J26+N26+S26</f>
        <v>0.99996500000000021</v>
      </c>
      <c r="U26" s="544">
        <f t="shared" ref="U26" si="32">+D26+G26+J26+N26</f>
        <v>0.78695710000000019</v>
      </c>
      <c r="V26" s="544">
        <f t="shared" ref="V26" si="33">+E26+H26+K26+M26+O26+Q26+R26</f>
        <v>0.69921967000000007</v>
      </c>
      <c r="W26" s="544">
        <f>+V26/U26</f>
        <v>0.88851052998949998</v>
      </c>
    </row>
    <row r="27" spans="1:23" x14ac:dyDescent="0.25">
      <c r="F27" s="332"/>
      <c r="H27" s="137"/>
      <c r="T27" s="333"/>
      <c r="U27" s="545"/>
      <c r="V27" s="545"/>
      <c r="W27" s="545"/>
    </row>
    <row r="28" spans="1:23" x14ac:dyDescent="0.25">
      <c r="H28" s="137"/>
    </row>
    <row r="29" spans="1:23" ht="18.75" x14ac:dyDescent="0.3">
      <c r="A29" s="535" t="s">
        <v>1</v>
      </c>
      <c r="B29" s="535"/>
      <c r="C29" s="535"/>
      <c r="D29" s="535"/>
      <c r="E29" s="535"/>
      <c r="F29" s="535"/>
      <c r="G29" s="535"/>
      <c r="H29" s="535"/>
      <c r="I29" s="535"/>
      <c r="J29" s="535"/>
      <c r="K29" s="535"/>
      <c r="L29" s="535"/>
      <c r="M29" s="535"/>
      <c r="N29" s="535"/>
      <c r="O29" s="535"/>
      <c r="P29" s="535"/>
      <c r="Q29" s="535"/>
      <c r="R29" s="535"/>
      <c r="S29" s="535"/>
      <c r="T29" s="535"/>
      <c r="U29" s="324"/>
      <c r="V29" s="324"/>
      <c r="W29" s="324"/>
    </row>
    <row r="30" spans="1:23" ht="18.75" x14ac:dyDescent="0.3">
      <c r="A30" s="535" t="s">
        <v>1884</v>
      </c>
      <c r="B30" s="535"/>
      <c r="C30" s="535"/>
      <c r="D30" s="535"/>
      <c r="E30" s="535"/>
      <c r="F30" s="535"/>
      <c r="G30" s="535"/>
      <c r="H30" s="535"/>
      <c r="I30" s="535"/>
      <c r="J30" s="535"/>
      <c r="K30" s="535"/>
      <c r="L30" s="535"/>
      <c r="M30" s="535"/>
      <c r="N30" s="535"/>
      <c r="O30" s="535"/>
      <c r="P30" s="535"/>
      <c r="Q30" s="535"/>
      <c r="R30" s="535"/>
      <c r="S30" s="535"/>
      <c r="T30" s="535"/>
      <c r="U30" s="324"/>
      <c r="V30" s="324"/>
      <c r="W30" s="324"/>
    </row>
    <row r="31" spans="1:23" ht="18.75" x14ac:dyDescent="0.3">
      <c r="A31" s="535" t="s">
        <v>1885</v>
      </c>
      <c r="B31" s="535"/>
      <c r="C31" s="535"/>
      <c r="D31" s="535"/>
      <c r="E31" s="535"/>
      <c r="F31" s="535"/>
      <c r="G31" s="535"/>
      <c r="H31" s="535"/>
      <c r="I31" s="535"/>
      <c r="J31" s="535"/>
      <c r="K31" s="535"/>
      <c r="L31" s="535"/>
      <c r="M31" s="535"/>
      <c r="N31" s="535"/>
      <c r="O31" s="535"/>
      <c r="P31" s="535"/>
      <c r="Q31" s="535"/>
      <c r="R31" s="535"/>
      <c r="S31" s="535"/>
      <c r="T31" s="535"/>
      <c r="U31" s="324"/>
      <c r="V31" s="324"/>
      <c r="W31" s="324"/>
    </row>
    <row r="32" spans="1:23" ht="18.75" x14ac:dyDescent="0.3">
      <c r="A32" s="535" t="s">
        <v>1909</v>
      </c>
      <c r="B32" s="535"/>
      <c r="C32" s="535"/>
      <c r="D32" s="535"/>
      <c r="E32" s="535"/>
      <c r="F32" s="535"/>
      <c r="G32" s="535"/>
      <c r="H32" s="535"/>
      <c r="I32" s="535"/>
      <c r="J32" s="535"/>
      <c r="K32" s="535"/>
      <c r="L32" s="535"/>
      <c r="M32" s="535"/>
      <c r="N32" s="535"/>
      <c r="O32" s="535"/>
      <c r="P32" s="535"/>
      <c r="Q32" s="535"/>
      <c r="R32" s="535"/>
      <c r="S32" s="535"/>
      <c r="T32" s="535"/>
      <c r="U32" s="324"/>
      <c r="V32" s="324"/>
      <c r="W32" s="324"/>
    </row>
    <row r="33" spans="1:23" ht="18.75" x14ac:dyDescent="0.3">
      <c r="A33" s="535" t="s">
        <v>2224</v>
      </c>
      <c r="B33" s="535"/>
      <c r="C33" s="535"/>
      <c r="D33" s="535"/>
      <c r="E33" s="535"/>
      <c r="F33" s="535"/>
      <c r="G33" s="535"/>
      <c r="H33" s="535"/>
      <c r="I33" s="535"/>
      <c r="J33" s="535"/>
      <c r="K33" s="535"/>
      <c r="L33" s="535"/>
      <c r="M33" s="535"/>
      <c r="N33" s="535"/>
      <c r="O33" s="535"/>
      <c r="P33" s="535"/>
      <c r="Q33" s="535"/>
      <c r="R33" s="535"/>
      <c r="S33" s="535"/>
      <c r="T33" s="535"/>
      <c r="U33" s="324"/>
      <c r="V33" s="324"/>
      <c r="W33" s="324"/>
    </row>
    <row r="34" spans="1:23" x14ac:dyDescent="0.25">
      <c r="B34" s="325"/>
      <c r="H34" s="137"/>
    </row>
    <row r="35" spans="1:23" x14ac:dyDescent="0.25">
      <c r="A35" s="537" t="s">
        <v>1910</v>
      </c>
      <c r="B35" s="537" t="s">
        <v>1911</v>
      </c>
      <c r="C35" s="537" t="s">
        <v>1888</v>
      </c>
      <c r="D35" s="531" t="s">
        <v>1912</v>
      </c>
      <c r="E35" s="539"/>
      <c r="F35" s="539"/>
      <c r="G35" s="539"/>
      <c r="H35" s="539"/>
      <c r="I35" s="539"/>
      <c r="J35" s="539"/>
      <c r="K35" s="539"/>
      <c r="L35" s="539"/>
      <c r="M35" s="539"/>
      <c r="N35" s="539"/>
      <c r="O35" s="539"/>
      <c r="P35" s="539"/>
      <c r="Q35" s="539"/>
      <c r="R35" s="539"/>
      <c r="S35" s="539"/>
      <c r="T35" s="532"/>
      <c r="U35" s="534" t="s">
        <v>1890</v>
      </c>
      <c r="V35" s="534"/>
      <c r="W35" s="534"/>
    </row>
    <row r="36" spans="1:23" ht="45" x14ac:dyDescent="0.25">
      <c r="A36" s="538" t="s">
        <v>1910</v>
      </c>
      <c r="B36" s="538"/>
      <c r="C36" s="538" t="s">
        <v>1888</v>
      </c>
      <c r="D36" s="326">
        <v>2012</v>
      </c>
      <c r="E36" s="326" t="s">
        <v>1891</v>
      </c>
      <c r="F36" s="326" t="s">
        <v>1892</v>
      </c>
      <c r="G36" s="326">
        <v>2013</v>
      </c>
      <c r="H36" s="326" t="s">
        <v>1891</v>
      </c>
      <c r="I36" s="326" t="s">
        <v>1892</v>
      </c>
      <c r="J36" s="326">
        <v>2014</v>
      </c>
      <c r="K36" s="326" t="s">
        <v>1891</v>
      </c>
      <c r="L36" s="326" t="s">
        <v>1892</v>
      </c>
      <c r="M36" s="326" t="s">
        <v>1893</v>
      </c>
      <c r="N36" s="326">
        <v>2015</v>
      </c>
      <c r="O36" s="326" t="s">
        <v>1891</v>
      </c>
      <c r="P36" s="326" t="s">
        <v>1892</v>
      </c>
      <c r="Q36" s="327" t="s">
        <v>1894</v>
      </c>
      <c r="R36" s="327" t="s">
        <v>1895</v>
      </c>
      <c r="S36" s="326">
        <v>2016</v>
      </c>
      <c r="T36" s="326" t="s">
        <v>1896</v>
      </c>
      <c r="U36" s="328" t="s">
        <v>1897</v>
      </c>
      <c r="V36" s="328" t="s">
        <v>1898</v>
      </c>
      <c r="W36" s="328" t="s">
        <v>1899</v>
      </c>
    </row>
    <row r="37" spans="1:23" x14ac:dyDescent="0.25">
      <c r="A37" s="42" t="s">
        <v>1913</v>
      </c>
      <c r="B37" s="36" t="s">
        <v>1914</v>
      </c>
      <c r="C37" s="334">
        <v>0.05</v>
      </c>
      <c r="D37" s="46">
        <v>0.2</v>
      </c>
      <c r="E37" s="46">
        <v>0.2</v>
      </c>
      <c r="F37" s="46">
        <f>+E37/D37</f>
        <v>1</v>
      </c>
      <c r="G37" s="46">
        <v>0.2</v>
      </c>
      <c r="H37" s="46">
        <v>0.2</v>
      </c>
      <c r="I37" s="46">
        <f>+H37/G37</f>
        <v>1</v>
      </c>
      <c r="J37" s="46">
        <v>0.2</v>
      </c>
      <c r="K37" s="46">
        <v>0.2</v>
      </c>
      <c r="L37" s="46">
        <f>+K37/J37</f>
        <v>1</v>
      </c>
      <c r="M37" s="46"/>
      <c r="N37" s="46">
        <v>0.2</v>
      </c>
      <c r="O37" s="46">
        <v>0.2</v>
      </c>
      <c r="P37" s="46">
        <f>+O37/N37</f>
        <v>1</v>
      </c>
      <c r="Q37" s="46"/>
      <c r="R37" s="46"/>
      <c r="S37" s="46">
        <v>0.2</v>
      </c>
      <c r="T37" s="331">
        <f t="shared" ref="T37:T61" si="34">+D37+G37+J37+N37+S37</f>
        <v>1</v>
      </c>
      <c r="U37" s="335">
        <f t="shared" ref="U37:U61" si="35">+D37+G37+J37+N37</f>
        <v>0.8</v>
      </c>
      <c r="V37" s="335">
        <f t="shared" ref="V37:V61" si="36">+E37+H37+K37+M37+O37+Q37+R37</f>
        <v>0.8</v>
      </c>
      <c r="W37" s="335">
        <f>+V37/U37</f>
        <v>1</v>
      </c>
    </row>
    <row r="38" spans="1:23" x14ac:dyDescent="0.25">
      <c r="A38" s="42" t="s">
        <v>1915</v>
      </c>
      <c r="B38" s="36" t="s">
        <v>1916</v>
      </c>
      <c r="C38" s="334">
        <v>0.05</v>
      </c>
      <c r="D38" s="46">
        <f>100%*20%</f>
        <v>0.2</v>
      </c>
      <c r="E38" s="46">
        <v>0.2</v>
      </c>
      <c r="F38" s="46">
        <f t="shared" ref="F38:F56" si="37">+E38/D38</f>
        <v>1</v>
      </c>
      <c r="G38" s="46">
        <f>100%*20%</f>
        <v>0.2</v>
      </c>
      <c r="H38" s="46">
        <f>100%*20%</f>
        <v>0.2</v>
      </c>
      <c r="I38" s="46">
        <f t="shared" ref="I38:I58" si="38">+H38/G38</f>
        <v>1</v>
      </c>
      <c r="J38" s="46">
        <f>33%*60%</f>
        <v>0.19800000000000001</v>
      </c>
      <c r="K38" s="46">
        <f>33%*60%</f>
        <v>0.19800000000000001</v>
      </c>
      <c r="L38" s="46">
        <f t="shared" ref="L38:L57" si="39">+K38/J38</f>
        <v>1</v>
      </c>
      <c r="M38" s="46"/>
      <c r="N38" s="46">
        <f>33%*60%</f>
        <v>0.19800000000000001</v>
      </c>
      <c r="O38" s="46">
        <v>0.2</v>
      </c>
      <c r="P38" s="46">
        <f t="shared" ref="P38:P57" si="40">+O38/N38</f>
        <v>1.0101010101010102</v>
      </c>
      <c r="Q38" s="46"/>
      <c r="R38" s="46"/>
      <c r="S38" s="46">
        <f>34%*60%</f>
        <v>0.20400000000000001</v>
      </c>
      <c r="T38" s="331">
        <f t="shared" si="34"/>
        <v>1</v>
      </c>
      <c r="U38" s="335">
        <f t="shared" si="35"/>
        <v>0.79600000000000004</v>
      </c>
      <c r="V38" s="335">
        <f t="shared" si="36"/>
        <v>0.79800000000000004</v>
      </c>
      <c r="W38" s="335">
        <f t="shared" ref="W38:W61" si="41">+V38/U38</f>
        <v>1.0025125628140703</v>
      </c>
    </row>
    <row r="39" spans="1:23" x14ac:dyDescent="0.25">
      <c r="A39" s="42" t="s">
        <v>1917</v>
      </c>
      <c r="B39" s="72" t="s">
        <v>1918</v>
      </c>
      <c r="C39" s="334">
        <v>0.05</v>
      </c>
      <c r="D39" s="46">
        <v>0.2</v>
      </c>
      <c r="E39" s="46">
        <v>0.2</v>
      </c>
      <c r="F39" s="46">
        <f t="shared" si="37"/>
        <v>1</v>
      </c>
      <c r="G39" s="46">
        <v>0.2</v>
      </c>
      <c r="H39" s="46">
        <v>0.2</v>
      </c>
      <c r="I39" s="46">
        <f t="shared" si="38"/>
        <v>1</v>
      </c>
      <c r="J39" s="46">
        <v>0.2</v>
      </c>
      <c r="K39" s="46">
        <v>0.2</v>
      </c>
      <c r="L39" s="46">
        <f t="shared" si="39"/>
        <v>1</v>
      </c>
      <c r="M39" s="46"/>
      <c r="N39" s="46">
        <v>0.2</v>
      </c>
      <c r="O39" s="46">
        <v>0.2</v>
      </c>
      <c r="P39" s="46">
        <f t="shared" si="40"/>
        <v>1</v>
      </c>
      <c r="Q39" s="46"/>
      <c r="R39" s="46"/>
      <c r="S39" s="46">
        <v>0.2</v>
      </c>
      <c r="T39" s="331">
        <f t="shared" si="34"/>
        <v>1</v>
      </c>
      <c r="U39" s="335">
        <f t="shared" si="35"/>
        <v>0.8</v>
      </c>
      <c r="V39" s="335">
        <f t="shared" si="36"/>
        <v>0.8</v>
      </c>
      <c r="W39" s="335">
        <f t="shared" si="41"/>
        <v>1</v>
      </c>
    </row>
    <row r="40" spans="1:23" ht="30" hidden="1" x14ac:dyDescent="0.25">
      <c r="A40" s="336" t="s">
        <v>1919</v>
      </c>
      <c r="B40" s="64" t="s">
        <v>1920</v>
      </c>
      <c r="C40" s="334">
        <v>0.05</v>
      </c>
      <c r="D40" s="46">
        <v>0</v>
      </c>
      <c r="E40" s="46">
        <v>0</v>
      </c>
      <c r="F40" s="46">
        <v>0</v>
      </c>
      <c r="G40" s="46">
        <v>1</v>
      </c>
      <c r="H40" s="46">
        <v>1</v>
      </c>
      <c r="I40" s="46">
        <f t="shared" si="38"/>
        <v>1</v>
      </c>
      <c r="J40" s="46"/>
      <c r="K40" s="46"/>
      <c r="L40" s="46"/>
      <c r="M40" s="46"/>
      <c r="N40" s="46"/>
      <c r="O40" s="46"/>
      <c r="P40" s="46"/>
      <c r="Q40" s="46"/>
      <c r="R40" s="46"/>
      <c r="S40" s="46"/>
      <c r="T40" s="331">
        <f t="shared" si="34"/>
        <v>1</v>
      </c>
      <c r="U40" s="335">
        <f t="shared" si="35"/>
        <v>1</v>
      </c>
      <c r="V40" s="335">
        <f t="shared" si="36"/>
        <v>1</v>
      </c>
      <c r="W40" s="335">
        <f t="shared" si="41"/>
        <v>1</v>
      </c>
    </row>
    <row r="41" spans="1:23" x14ac:dyDescent="0.25">
      <c r="A41" s="42" t="s">
        <v>1921</v>
      </c>
      <c r="B41" s="72" t="s">
        <v>1922</v>
      </c>
      <c r="C41" s="334">
        <v>0.05</v>
      </c>
      <c r="D41" s="46">
        <v>0.2</v>
      </c>
      <c r="E41" s="46">
        <v>0.2</v>
      </c>
      <c r="F41" s="46">
        <f t="shared" si="37"/>
        <v>1</v>
      </c>
      <c r="G41" s="46">
        <v>0.2</v>
      </c>
      <c r="H41" s="46">
        <v>0.2</v>
      </c>
      <c r="I41" s="46">
        <f t="shared" si="38"/>
        <v>1</v>
      </c>
      <c r="J41" s="46">
        <v>0.2</v>
      </c>
      <c r="K41" s="46">
        <v>0.2</v>
      </c>
      <c r="L41" s="46">
        <f t="shared" si="39"/>
        <v>1</v>
      </c>
      <c r="M41" s="46"/>
      <c r="N41" s="46">
        <v>0.2</v>
      </c>
      <c r="O41" s="46">
        <v>0.2</v>
      </c>
      <c r="P41" s="46">
        <f t="shared" si="40"/>
        <v>1</v>
      </c>
      <c r="Q41" s="46"/>
      <c r="R41" s="46"/>
      <c r="S41" s="46">
        <v>0.2</v>
      </c>
      <c r="T41" s="331">
        <f t="shared" si="34"/>
        <v>1</v>
      </c>
      <c r="U41" s="335">
        <f t="shared" si="35"/>
        <v>0.8</v>
      </c>
      <c r="V41" s="335">
        <f t="shared" si="36"/>
        <v>0.8</v>
      </c>
      <c r="W41" s="335">
        <f t="shared" si="41"/>
        <v>1</v>
      </c>
    </row>
    <row r="42" spans="1:23" x14ac:dyDescent="0.25">
      <c r="A42" s="42" t="s">
        <v>1923</v>
      </c>
      <c r="B42" s="72" t="s">
        <v>1924</v>
      </c>
      <c r="C42" s="334">
        <v>0.05</v>
      </c>
      <c r="D42" s="46">
        <v>0.2</v>
      </c>
      <c r="E42" s="46">
        <v>0.2</v>
      </c>
      <c r="F42" s="46">
        <f t="shared" si="37"/>
        <v>1</v>
      </c>
      <c r="G42" s="46">
        <v>0.2</v>
      </c>
      <c r="H42" s="46">
        <v>0.2</v>
      </c>
      <c r="I42" s="46">
        <f t="shared" si="38"/>
        <v>1</v>
      </c>
      <c r="J42" s="46">
        <v>0.2</v>
      </c>
      <c r="K42" s="46">
        <v>0.2</v>
      </c>
      <c r="L42" s="46">
        <f t="shared" si="39"/>
        <v>1</v>
      </c>
      <c r="M42" s="46"/>
      <c r="N42" s="46">
        <v>0.2</v>
      </c>
      <c r="O42" s="46">
        <v>0.2</v>
      </c>
      <c r="P42" s="46">
        <f t="shared" si="40"/>
        <v>1</v>
      </c>
      <c r="Q42" s="46"/>
      <c r="R42" s="46"/>
      <c r="S42" s="46">
        <v>0.2</v>
      </c>
      <c r="T42" s="331">
        <f t="shared" si="34"/>
        <v>1</v>
      </c>
      <c r="U42" s="335">
        <f t="shared" si="35"/>
        <v>0.8</v>
      </c>
      <c r="V42" s="335">
        <f t="shared" si="36"/>
        <v>0.8</v>
      </c>
      <c r="W42" s="335">
        <f t="shared" si="41"/>
        <v>1</v>
      </c>
    </row>
    <row r="43" spans="1:23" ht="45" x14ac:dyDescent="0.25">
      <c r="A43" s="42" t="s">
        <v>1925</v>
      </c>
      <c r="B43" s="72" t="s">
        <v>1926</v>
      </c>
      <c r="C43" s="334">
        <v>0.05</v>
      </c>
      <c r="D43" s="46">
        <v>0.2</v>
      </c>
      <c r="E43" s="46">
        <v>0.2</v>
      </c>
      <c r="F43" s="46">
        <f t="shared" si="37"/>
        <v>1</v>
      </c>
      <c r="G43" s="46">
        <v>0.2</v>
      </c>
      <c r="H43" s="46">
        <v>0.2</v>
      </c>
      <c r="I43" s="46">
        <f t="shared" si="38"/>
        <v>1</v>
      </c>
      <c r="J43" s="46">
        <v>0.2</v>
      </c>
      <c r="K43" s="46">
        <v>0.2</v>
      </c>
      <c r="L43" s="46">
        <f t="shared" si="39"/>
        <v>1</v>
      </c>
      <c r="M43" s="46"/>
      <c r="N43" s="46">
        <v>0.2</v>
      </c>
      <c r="O43" s="46">
        <v>0.2</v>
      </c>
      <c r="P43" s="46">
        <f t="shared" si="40"/>
        <v>1</v>
      </c>
      <c r="Q43" s="46"/>
      <c r="R43" s="46"/>
      <c r="S43" s="46">
        <v>0.2</v>
      </c>
      <c r="T43" s="331">
        <f t="shared" si="34"/>
        <v>1</v>
      </c>
      <c r="U43" s="335">
        <f t="shared" si="35"/>
        <v>0.8</v>
      </c>
      <c r="V43" s="335">
        <f t="shared" si="36"/>
        <v>0.8</v>
      </c>
      <c r="W43" s="335">
        <f t="shared" si="41"/>
        <v>1</v>
      </c>
    </row>
    <row r="44" spans="1:23" x14ac:dyDescent="0.25">
      <c r="A44" s="42" t="s">
        <v>1927</v>
      </c>
      <c r="B44" s="72" t="s">
        <v>1928</v>
      </c>
      <c r="C44" s="334">
        <v>0.05</v>
      </c>
      <c r="D44" s="46">
        <v>0.2</v>
      </c>
      <c r="E44" s="46">
        <v>0.2</v>
      </c>
      <c r="F44" s="46">
        <f t="shared" si="37"/>
        <v>1</v>
      </c>
      <c r="G44" s="46">
        <v>0.2</v>
      </c>
      <c r="H44" s="46">
        <v>0.2</v>
      </c>
      <c r="I44" s="46">
        <f t="shared" si="38"/>
        <v>1</v>
      </c>
      <c r="J44" s="46">
        <v>0.2</v>
      </c>
      <c r="K44" s="46">
        <v>0.2</v>
      </c>
      <c r="L44" s="46">
        <f t="shared" si="39"/>
        <v>1</v>
      </c>
      <c r="M44" s="46"/>
      <c r="N44" s="46">
        <v>0.2</v>
      </c>
      <c r="O44" s="46">
        <v>0.2</v>
      </c>
      <c r="P44" s="46">
        <f t="shared" si="40"/>
        <v>1</v>
      </c>
      <c r="Q44" s="46"/>
      <c r="R44" s="46"/>
      <c r="S44" s="46">
        <v>0.2</v>
      </c>
      <c r="T44" s="331">
        <f t="shared" si="34"/>
        <v>1</v>
      </c>
      <c r="U44" s="335">
        <f t="shared" si="35"/>
        <v>0.8</v>
      </c>
      <c r="V44" s="335">
        <f t="shared" si="36"/>
        <v>0.8</v>
      </c>
      <c r="W44" s="335">
        <f t="shared" si="41"/>
        <v>1</v>
      </c>
    </row>
    <row r="45" spans="1:23" ht="30" hidden="1" x14ac:dyDescent="0.25">
      <c r="A45" s="336" t="s">
        <v>1929</v>
      </c>
      <c r="B45" s="64" t="s">
        <v>1930</v>
      </c>
      <c r="C45" s="334">
        <v>0.05</v>
      </c>
      <c r="D45" s="46">
        <v>1</v>
      </c>
      <c r="E45" s="46">
        <v>0</v>
      </c>
      <c r="F45" s="46">
        <f t="shared" si="37"/>
        <v>0</v>
      </c>
      <c r="G45" s="46"/>
      <c r="H45" s="46">
        <v>1</v>
      </c>
      <c r="I45" s="46">
        <v>1</v>
      </c>
      <c r="J45" s="46"/>
      <c r="K45" s="46"/>
      <c r="L45" s="46">
        <v>1</v>
      </c>
      <c r="M45" s="46"/>
      <c r="N45" s="46"/>
      <c r="O45" s="46"/>
      <c r="P45" s="46"/>
      <c r="Q45" s="46"/>
      <c r="R45" s="46"/>
      <c r="S45" s="46"/>
      <c r="T45" s="331">
        <f t="shared" si="34"/>
        <v>1</v>
      </c>
      <c r="U45" s="335">
        <f t="shared" si="35"/>
        <v>1</v>
      </c>
      <c r="V45" s="335">
        <f t="shared" si="36"/>
        <v>1</v>
      </c>
      <c r="W45" s="335">
        <f t="shared" si="41"/>
        <v>1</v>
      </c>
    </row>
    <row r="46" spans="1:23" ht="30" x14ac:dyDescent="0.25">
      <c r="A46" s="336" t="s">
        <v>1931</v>
      </c>
      <c r="B46" s="64" t="s">
        <v>1932</v>
      </c>
      <c r="C46" s="334">
        <v>0.05</v>
      </c>
      <c r="D46" s="46">
        <f>40%*100%</f>
        <v>0.4</v>
      </c>
      <c r="E46" s="46">
        <f>40%*100%</f>
        <v>0.4</v>
      </c>
      <c r="F46" s="46">
        <f t="shared" si="37"/>
        <v>1</v>
      </c>
      <c r="G46" s="46">
        <f>60%*25%</f>
        <v>0.15</v>
      </c>
      <c r="H46" s="46">
        <f>60%*25%</f>
        <v>0.15</v>
      </c>
      <c r="I46" s="46">
        <f t="shared" si="38"/>
        <v>1</v>
      </c>
      <c r="J46" s="46">
        <f t="shared" ref="J46:S46" si="42">60%*25%</f>
        <v>0.15</v>
      </c>
      <c r="K46" s="46">
        <f t="shared" si="42"/>
        <v>0.15</v>
      </c>
      <c r="L46" s="46">
        <f t="shared" si="39"/>
        <v>1</v>
      </c>
      <c r="M46" s="46"/>
      <c r="N46" s="46">
        <f t="shared" si="42"/>
        <v>0.15</v>
      </c>
      <c r="O46" s="46">
        <v>0.15</v>
      </c>
      <c r="P46" s="46">
        <f t="shared" si="40"/>
        <v>1</v>
      </c>
      <c r="Q46" s="46"/>
      <c r="R46" s="46"/>
      <c r="S46" s="46">
        <f t="shared" si="42"/>
        <v>0.15</v>
      </c>
      <c r="T46" s="331">
        <f t="shared" si="34"/>
        <v>1</v>
      </c>
      <c r="U46" s="335">
        <f t="shared" si="35"/>
        <v>0.85000000000000009</v>
      </c>
      <c r="V46" s="335">
        <f t="shared" si="36"/>
        <v>0.85000000000000009</v>
      </c>
      <c r="W46" s="335">
        <f t="shared" si="41"/>
        <v>1</v>
      </c>
    </row>
    <row r="47" spans="1:23" hidden="1" x14ac:dyDescent="0.25">
      <c r="A47" s="42" t="s">
        <v>1933</v>
      </c>
      <c r="B47" s="72" t="s">
        <v>1934</v>
      </c>
      <c r="C47" s="334">
        <v>0.18</v>
      </c>
      <c r="D47" s="46"/>
      <c r="E47" s="46"/>
      <c r="F47" s="46"/>
      <c r="G47" s="46"/>
      <c r="H47" s="46"/>
      <c r="I47" s="46"/>
      <c r="J47" s="46"/>
      <c r="K47" s="46"/>
      <c r="L47" s="46"/>
      <c r="M47" s="46"/>
      <c r="N47" s="46"/>
      <c r="O47" s="46"/>
      <c r="P47" s="46"/>
      <c r="Q47" s="46"/>
      <c r="R47" s="46"/>
      <c r="S47" s="337">
        <v>1</v>
      </c>
      <c r="T47" s="331">
        <f t="shared" si="34"/>
        <v>1</v>
      </c>
      <c r="U47" s="335">
        <f t="shared" si="35"/>
        <v>0</v>
      </c>
      <c r="V47" s="335">
        <f t="shared" si="36"/>
        <v>0</v>
      </c>
      <c r="W47" s="335"/>
    </row>
    <row r="48" spans="1:23" ht="25.5" hidden="1" customHeight="1" x14ac:dyDescent="0.25">
      <c r="A48" s="42" t="s">
        <v>1935</v>
      </c>
      <c r="B48" s="72" t="s">
        <v>1936</v>
      </c>
      <c r="C48" s="334">
        <v>0</v>
      </c>
      <c r="D48" s="46"/>
      <c r="E48" s="46"/>
      <c r="F48" s="46"/>
      <c r="G48" s="46"/>
      <c r="H48" s="46"/>
      <c r="I48" s="46"/>
      <c r="J48" s="46"/>
      <c r="K48" s="46"/>
      <c r="L48" s="46"/>
      <c r="M48" s="46"/>
      <c r="N48" s="46"/>
      <c r="O48" s="46"/>
      <c r="P48" s="46"/>
      <c r="Q48" s="46"/>
      <c r="R48" s="46"/>
      <c r="S48" s="337"/>
      <c r="T48" s="331">
        <f t="shared" si="34"/>
        <v>0</v>
      </c>
      <c r="U48" s="335">
        <f t="shared" si="35"/>
        <v>0</v>
      </c>
      <c r="V48" s="335">
        <f t="shared" si="36"/>
        <v>0</v>
      </c>
      <c r="W48" s="335"/>
    </row>
    <row r="49" spans="1:24" ht="30" x14ac:dyDescent="0.25">
      <c r="A49" s="42" t="s">
        <v>1937</v>
      </c>
      <c r="B49" s="72" t="s">
        <v>1938</v>
      </c>
      <c r="C49" s="334">
        <v>0.05</v>
      </c>
      <c r="D49" s="46">
        <f>20%*75%+100%*25%</f>
        <v>0.4</v>
      </c>
      <c r="E49" s="46">
        <v>0.4</v>
      </c>
      <c r="F49" s="46">
        <f t="shared" si="37"/>
        <v>1</v>
      </c>
      <c r="G49" s="46">
        <f>20%*75%</f>
        <v>0.15000000000000002</v>
      </c>
      <c r="H49" s="46">
        <f>20%*75%</f>
        <v>0.15000000000000002</v>
      </c>
      <c r="I49" s="46">
        <f t="shared" si="38"/>
        <v>1</v>
      </c>
      <c r="J49" s="46">
        <f>20%*75%</f>
        <v>0.15000000000000002</v>
      </c>
      <c r="K49" s="46">
        <f>20%*75%</f>
        <v>0.15000000000000002</v>
      </c>
      <c r="L49" s="46">
        <f t="shared" si="39"/>
        <v>1</v>
      </c>
      <c r="M49" s="46"/>
      <c r="N49" s="46">
        <f>20%*75%</f>
        <v>0.15000000000000002</v>
      </c>
      <c r="O49" s="46">
        <v>0.15</v>
      </c>
      <c r="P49" s="46">
        <f t="shared" si="40"/>
        <v>0.99999999999999978</v>
      </c>
      <c r="Q49" s="46"/>
      <c r="R49" s="46"/>
      <c r="S49" s="46">
        <f>20%*75%</f>
        <v>0.15000000000000002</v>
      </c>
      <c r="T49" s="331">
        <f t="shared" si="34"/>
        <v>1</v>
      </c>
      <c r="U49" s="335">
        <f t="shared" si="35"/>
        <v>0.85000000000000009</v>
      </c>
      <c r="V49" s="335">
        <f t="shared" si="36"/>
        <v>0.85000000000000009</v>
      </c>
      <c r="W49" s="335">
        <f t="shared" si="41"/>
        <v>1</v>
      </c>
    </row>
    <row r="50" spans="1:24" x14ac:dyDescent="0.25">
      <c r="A50" s="40" t="s">
        <v>1939</v>
      </c>
      <c r="B50" s="36" t="s">
        <v>1940</v>
      </c>
      <c r="C50" s="334">
        <v>0.05</v>
      </c>
      <c r="D50" s="46">
        <v>0.2</v>
      </c>
      <c r="E50" s="46">
        <v>0.2</v>
      </c>
      <c r="F50" s="46">
        <f t="shared" si="37"/>
        <v>1</v>
      </c>
      <c r="G50" s="46">
        <v>0.2</v>
      </c>
      <c r="H50" s="46">
        <v>0.2</v>
      </c>
      <c r="I50" s="46">
        <f t="shared" si="38"/>
        <v>1</v>
      </c>
      <c r="J50" s="46">
        <v>0.2</v>
      </c>
      <c r="K50" s="46">
        <v>0.2</v>
      </c>
      <c r="L50" s="46">
        <f t="shared" si="39"/>
        <v>1</v>
      </c>
      <c r="M50" s="46"/>
      <c r="N50" s="46">
        <v>0.2</v>
      </c>
      <c r="O50" s="46">
        <v>0.2</v>
      </c>
      <c r="P50" s="46">
        <f t="shared" si="40"/>
        <v>1</v>
      </c>
      <c r="Q50" s="46"/>
      <c r="R50" s="46"/>
      <c r="S50" s="46">
        <v>0.2</v>
      </c>
      <c r="T50" s="331">
        <f t="shared" si="34"/>
        <v>1</v>
      </c>
      <c r="U50" s="335">
        <f t="shared" si="35"/>
        <v>0.8</v>
      </c>
      <c r="V50" s="335">
        <f t="shared" si="36"/>
        <v>0.8</v>
      </c>
      <c r="W50" s="335">
        <f t="shared" si="41"/>
        <v>1</v>
      </c>
    </row>
    <row r="51" spans="1:24" ht="24.75" hidden="1" customHeight="1" x14ac:dyDescent="0.25">
      <c r="A51" s="40" t="s">
        <v>1941</v>
      </c>
      <c r="B51" s="36" t="s">
        <v>1942</v>
      </c>
      <c r="C51" s="334">
        <v>0.05</v>
      </c>
      <c r="D51" s="46"/>
      <c r="E51" s="46"/>
      <c r="F51" s="46"/>
      <c r="G51" s="46">
        <v>0.4</v>
      </c>
      <c r="H51" s="46">
        <f>40%*35%</f>
        <v>0.13999999999999999</v>
      </c>
      <c r="I51" s="46">
        <f t="shared" si="38"/>
        <v>0.34999999999999992</v>
      </c>
      <c r="J51" s="46"/>
      <c r="K51" s="46"/>
      <c r="L51" s="46"/>
      <c r="M51" s="46"/>
      <c r="N51" s="46"/>
      <c r="O51" s="46"/>
      <c r="P51" s="46"/>
      <c r="Q51" s="46">
        <f>40%*65%</f>
        <v>0.26</v>
      </c>
      <c r="R51" s="46"/>
      <c r="S51" s="337">
        <v>0.6</v>
      </c>
      <c r="T51" s="331">
        <f t="shared" si="34"/>
        <v>1</v>
      </c>
      <c r="U51" s="335">
        <f t="shared" si="35"/>
        <v>0.4</v>
      </c>
      <c r="V51" s="335">
        <f t="shared" si="36"/>
        <v>0.4</v>
      </c>
      <c r="W51" s="335">
        <f t="shared" si="41"/>
        <v>1</v>
      </c>
      <c r="X51" s="325" t="s">
        <v>1943</v>
      </c>
    </row>
    <row r="52" spans="1:24" ht="36" hidden="1" customHeight="1" x14ac:dyDescent="0.25">
      <c r="A52" s="338" t="s">
        <v>1944</v>
      </c>
      <c r="B52" s="339" t="s">
        <v>1945</v>
      </c>
      <c r="C52" s="334"/>
      <c r="D52" s="28"/>
      <c r="E52" s="28"/>
      <c r="F52" s="46"/>
      <c r="G52" s="28"/>
      <c r="H52" s="28"/>
      <c r="I52" s="46"/>
      <c r="J52" s="28"/>
      <c r="K52" s="28"/>
      <c r="L52" s="46"/>
      <c r="M52" s="46"/>
      <c r="N52" s="28"/>
      <c r="O52" s="28"/>
      <c r="P52" s="46"/>
      <c r="Q52" s="46"/>
      <c r="R52" s="46"/>
      <c r="S52" s="340"/>
      <c r="T52" s="331">
        <f t="shared" si="34"/>
        <v>0</v>
      </c>
      <c r="U52" s="335">
        <f t="shared" si="35"/>
        <v>0</v>
      </c>
      <c r="V52" s="335">
        <f t="shared" si="36"/>
        <v>0</v>
      </c>
      <c r="W52" s="335"/>
    </row>
    <row r="53" spans="1:24" ht="26.25" hidden="1" customHeight="1" x14ac:dyDescent="0.25">
      <c r="A53" s="338" t="s">
        <v>1946</v>
      </c>
      <c r="B53" s="339" t="s">
        <v>1947</v>
      </c>
      <c r="C53" s="334"/>
      <c r="D53" s="28"/>
      <c r="E53" s="28"/>
      <c r="F53" s="46"/>
      <c r="G53" s="28"/>
      <c r="H53" s="28"/>
      <c r="I53" s="46"/>
      <c r="J53" s="28"/>
      <c r="K53" s="28"/>
      <c r="L53" s="46"/>
      <c r="M53" s="46"/>
      <c r="N53" s="28"/>
      <c r="O53" s="28"/>
      <c r="P53" s="46"/>
      <c r="Q53" s="46"/>
      <c r="R53" s="46"/>
      <c r="S53" s="340"/>
      <c r="T53" s="331">
        <f t="shared" si="34"/>
        <v>0</v>
      </c>
      <c r="U53" s="335">
        <f t="shared" si="35"/>
        <v>0</v>
      </c>
      <c r="V53" s="335">
        <f t="shared" si="36"/>
        <v>0</v>
      </c>
      <c r="W53" s="335"/>
    </row>
    <row r="54" spans="1:24" ht="22.5" customHeight="1" x14ac:dyDescent="0.25">
      <c r="A54" s="338" t="s">
        <v>1948</v>
      </c>
      <c r="B54" s="64" t="s">
        <v>1949</v>
      </c>
      <c r="C54" s="334">
        <v>0.02</v>
      </c>
      <c r="D54" s="28"/>
      <c r="E54" s="28"/>
      <c r="F54" s="46"/>
      <c r="G54" s="28">
        <v>0.4</v>
      </c>
      <c r="H54" s="28">
        <f>40%*25%</f>
        <v>0.1</v>
      </c>
      <c r="I54" s="46">
        <f t="shared" si="38"/>
        <v>0.25</v>
      </c>
      <c r="J54" s="28"/>
      <c r="K54" s="28"/>
      <c r="L54" s="46"/>
      <c r="M54" s="28">
        <f>40%*75%</f>
        <v>0.30000000000000004</v>
      </c>
      <c r="N54" s="28">
        <f>50%*60%</f>
        <v>0.3</v>
      </c>
      <c r="O54" s="28">
        <f>+N54*0.33</f>
        <v>9.9000000000000005E-2</v>
      </c>
      <c r="P54" s="46">
        <f t="shared" si="40"/>
        <v>0.33</v>
      </c>
      <c r="Q54" s="46"/>
      <c r="R54" s="46"/>
      <c r="S54" s="28">
        <f>50%*60%</f>
        <v>0.3</v>
      </c>
      <c r="T54" s="331">
        <f t="shared" si="34"/>
        <v>1</v>
      </c>
      <c r="U54" s="335">
        <f t="shared" si="35"/>
        <v>0.7</v>
      </c>
      <c r="V54" s="335">
        <f t="shared" si="36"/>
        <v>0.499</v>
      </c>
      <c r="W54" s="335">
        <f t="shared" si="41"/>
        <v>0.71285714285714286</v>
      </c>
    </row>
    <row r="55" spans="1:24" ht="30" hidden="1" x14ac:dyDescent="0.25">
      <c r="A55" s="338" t="s">
        <v>1950</v>
      </c>
      <c r="B55" s="64" t="s">
        <v>1951</v>
      </c>
      <c r="C55" s="334">
        <v>0.02</v>
      </c>
      <c r="D55" s="28"/>
      <c r="E55" s="28"/>
      <c r="F55" s="46"/>
      <c r="G55" s="28">
        <v>1</v>
      </c>
      <c r="H55" s="28">
        <v>1</v>
      </c>
      <c r="I55" s="46">
        <f t="shared" si="38"/>
        <v>1</v>
      </c>
      <c r="J55" s="28"/>
      <c r="K55" s="28"/>
      <c r="L55" s="46"/>
      <c r="M55" s="46"/>
      <c r="N55" s="28"/>
      <c r="O55" s="28"/>
      <c r="P55" s="46"/>
      <c r="Q55" s="46"/>
      <c r="R55" s="46"/>
      <c r="S55" s="28"/>
      <c r="T55" s="331">
        <f t="shared" si="34"/>
        <v>1</v>
      </c>
      <c r="U55" s="335">
        <f t="shared" si="35"/>
        <v>1</v>
      </c>
      <c r="V55" s="335">
        <f t="shared" si="36"/>
        <v>1</v>
      </c>
      <c r="W55" s="335">
        <f t="shared" si="41"/>
        <v>1</v>
      </c>
    </row>
    <row r="56" spans="1:24" ht="30" hidden="1" x14ac:dyDescent="0.25">
      <c r="A56" s="338" t="s">
        <v>1952</v>
      </c>
      <c r="B56" s="64" t="s">
        <v>1953</v>
      </c>
      <c r="C56" s="334">
        <v>0.02</v>
      </c>
      <c r="D56" s="28">
        <v>0.4</v>
      </c>
      <c r="E56" s="28">
        <v>0.4</v>
      </c>
      <c r="F56" s="46">
        <f t="shared" si="37"/>
        <v>1</v>
      </c>
      <c r="G56" s="28">
        <v>0.6</v>
      </c>
      <c r="H56" s="28">
        <v>0.6</v>
      </c>
      <c r="I56" s="46">
        <f t="shared" si="38"/>
        <v>1</v>
      </c>
      <c r="J56" s="28"/>
      <c r="K56" s="28"/>
      <c r="L56" s="46"/>
      <c r="M56" s="46"/>
      <c r="N56" s="28"/>
      <c r="O56" s="28"/>
      <c r="P56" s="46"/>
      <c r="Q56" s="46"/>
      <c r="R56" s="46"/>
      <c r="S56" s="28"/>
      <c r="T56" s="331">
        <f t="shared" si="34"/>
        <v>1</v>
      </c>
      <c r="U56" s="335">
        <f t="shared" si="35"/>
        <v>1</v>
      </c>
      <c r="V56" s="335">
        <f t="shared" si="36"/>
        <v>1</v>
      </c>
      <c r="W56" s="335">
        <f t="shared" si="41"/>
        <v>1</v>
      </c>
    </row>
    <row r="57" spans="1:24" ht="30" x14ac:dyDescent="0.25">
      <c r="A57" s="338" t="s">
        <v>1954</v>
      </c>
      <c r="B57" s="339" t="s">
        <v>1955</v>
      </c>
      <c r="C57" s="334">
        <v>0.02</v>
      </c>
      <c r="D57" s="28"/>
      <c r="E57" s="28"/>
      <c r="F57" s="46"/>
      <c r="G57" s="28">
        <f>40%*100%</f>
        <v>0.4</v>
      </c>
      <c r="H57" s="28">
        <f>40%*25%</f>
        <v>0.1</v>
      </c>
      <c r="I57" s="46">
        <f t="shared" si="38"/>
        <v>0.25</v>
      </c>
      <c r="J57" s="28">
        <f>40%*33%+20%*100%</f>
        <v>0.33200000000000002</v>
      </c>
      <c r="K57" s="28">
        <f>40%*33%+20%*100%</f>
        <v>0.33200000000000002</v>
      </c>
      <c r="L57" s="46">
        <f t="shared" si="39"/>
        <v>1</v>
      </c>
      <c r="M57" s="46">
        <f>40%*75%</f>
        <v>0.30000000000000004</v>
      </c>
      <c r="N57" s="28">
        <f>40%*33%</f>
        <v>0.13200000000000001</v>
      </c>
      <c r="O57" s="28">
        <v>0.13</v>
      </c>
      <c r="P57" s="46">
        <f t="shared" si="40"/>
        <v>0.98484848484848486</v>
      </c>
      <c r="Q57" s="46"/>
      <c r="R57" s="46"/>
      <c r="S57" s="28">
        <f>40%*34%</f>
        <v>0.13600000000000001</v>
      </c>
      <c r="T57" s="331">
        <f t="shared" si="34"/>
        <v>1</v>
      </c>
      <c r="U57" s="335">
        <f t="shared" si="35"/>
        <v>0.86399999999999999</v>
      </c>
      <c r="V57" s="335">
        <f t="shared" si="36"/>
        <v>0.8620000000000001</v>
      </c>
      <c r="W57" s="335">
        <f t="shared" si="41"/>
        <v>0.99768518518518534</v>
      </c>
    </row>
    <row r="58" spans="1:24" ht="30" hidden="1" x14ac:dyDescent="0.25">
      <c r="A58" s="336" t="s">
        <v>1956</v>
      </c>
      <c r="B58" s="64" t="s">
        <v>1957</v>
      </c>
      <c r="C58" s="334">
        <v>0.02</v>
      </c>
      <c r="D58" s="28"/>
      <c r="E58" s="28"/>
      <c r="F58" s="46"/>
      <c r="G58" s="28">
        <v>1</v>
      </c>
      <c r="H58" s="28">
        <v>1</v>
      </c>
      <c r="I58" s="46">
        <f t="shared" si="38"/>
        <v>1</v>
      </c>
      <c r="J58" s="28"/>
      <c r="K58" s="28"/>
      <c r="L58" s="46"/>
      <c r="M58" s="46"/>
      <c r="N58" s="28"/>
      <c r="O58" s="28"/>
      <c r="P58" s="46"/>
      <c r="Q58" s="46"/>
      <c r="R58" s="46"/>
      <c r="S58" s="28"/>
      <c r="T58" s="331">
        <f t="shared" si="34"/>
        <v>1</v>
      </c>
      <c r="U58" s="335">
        <f t="shared" si="35"/>
        <v>1</v>
      </c>
      <c r="V58" s="335">
        <f t="shared" si="36"/>
        <v>1</v>
      </c>
      <c r="W58" s="335">
        <f t="shared" si="41"/>
        <v>1</v>
      </c>
    </row>
    <row r="59" spans="1:24" ht="30" hidden="1" x14ac:dyDescent="0.25">
      <c r="A59" s="336" t="s">
        <v>1958</v>
      </c>
      <c r="B59" s="64" t="s">
        <v>1959</v>
      </c>
      <c r="C59" s="334"/>
      <c r="D59" s="28"/>
      <c r="E59" s="28"/>
      <c r="F59" s="46"/>
      <c r="G59" s="28"/>
      <c r="H59" s="28"/>
      <c r="I59" s="46"/>
      <c r="J59" s="28"/>
      <c r="K59" s="28"/>
      <c r="L59" s="46"/>
      <c r="M59" s="46"/>
      <c r="N59" s="28"/>
      <c r="O59" s="28"/>
      <c r="P59" s="46"/>
      <c r="Q59" s="46"/>
      <c r="R59" s="46"/>
      <c r="S59" s="340"/>
      <c r="T59" s="331">
        <f t="shared" si="34"/>
        <v>0</v>
      </c>
      <c r="U59" s="335">
        <f t="shared" si="35"/>
        <v>0</v>
      </c>
      <c r="V59" s="335">
        <f t="shared" si="36"/>
        <v>0</v>
      </c>
      <c r="W59" s="335"/>
    </row>
    <row r="60" spans="1:24" ht="30" hidden="1" x14ac:dyDescent="0.25">
      <c r="A60" s="336" t="s">
        <v>1960</v>
      </c>
      <c r="B60" s="64" t="s">
        <v>1961</v>
      </c>
      <c r="C60" s="334">
        <v>0.02</v>
      </c>
      <c r="D60" s="28"/>
      <c r="E60" s="28"/>
      <c r="F60" s="46"/>
      <c r="G60" s="28"/>
      <c r="H60" s="28"/>
      <c r="I60" s="46"/>
      <c r="J60" s="28">
        <v>1</v>
      </c>
      <c r="K60" s="28">
        <v>1</v>
      </c>
      <c r="L60" s="46">
        <f t="shared" ref="L60:L61" si="43">+K60/J60</f>
        <v>1</v>
      </c>
      <c r="M60" s="46"/>
      <c r="N60" s="28"/>
      <c r="O60" s="28"/>
      <c r="P60" s="46"/>
      <c r="Q60" s="46"/>
      <c r="R60" s="46"/>
      <c r="S60" s="28"/>
      <c r="T60" s="331">
        <f t="shared" si="34"/>
        <v>1</v>
      </c>
      <c r="U60" s="335">
        <f t="shared" si="35"/>
        <v>1</v>
      </c>
      <c r="V60" s="335">
        <f t="shared" si="36"/>
        <v>1</v>
      </c>
      <c r="W60" s="335">
        <f t="shared" si="41"/>
        <v>1</v>
      </c>
    </row>
    <row r="61" spans="1:24" ht="30" hidden="1" x14ac:dyDescent="0.25">
      <c r="A61" s="336" t="s">
        <v>1962</v>
      </c>
      <c r="B61" s="64" t="s">
        <v>1963</v>
      </c>
      <c r="C61" s="334">
        <v>0.05</v>
      </c>
      <c r="D61" s="28"/>
      <c r="E61" s="28"/>
      <c r="F61" s="46"/>
      <c r="G61" s="28"/>
      <c r="H61" s="28"/>
      <c r="I61" s="46"/>
      <c r="J61" s="28">
        <f>100%*40%</f>
        <v>0.4</v>
      </c>
      <c r="K61" s="28">
        <f>100%*40%</f>
        <v>0.4</v>
      </c>
      <c r="L61" s="46">
        <f t="shared" si="43"/>
        <v>1</v>
      </c>
      <c r="M61" s="46"/>
      <c r="N61" s="28"/>
      <c r="O61" s="28"/>
      <c r="P61" s="46"/>
      <c r="Q61" s="46"/>
      <c r="R61" s="46"/>
      <c r="S61" s="28">
        <v>0.6</v>
      </c>
      <c r="T61" s="331">
        <f t="shared" si="34"/>
        <v>1</v>
      </c>
      <c r="U61" s="335">
        <f t="shared" si="35"/>
        <v>0.4</v>
      </c>
      <c r="V61" s="335">
        <f t="shared" si="36"/>
        <v>0.4</v>
      </c>
      <c r="W61" s="335">
        <f t="shared" si="41"/>
        <v>1</v>
      </c>
    </row>
    <row r="62" spans="1:24" x14ac:dyDescent="0.25">
      <c r="A62" s="40"/>
      <c r="B62" s="341" t="s">
        <v>1896</v>
      </c>
      <c r="C62" s="334">
        <f>SUM(C37:C61)</f>
        <v>1.0000000000000002</v>
      </c>
      <c r="D62" s="541"/>
      <c r="E62" s="542"/>
      <c r="F62" s="542"/>
      <c r="G62" s="529"/>
      <c r="H62" s="529"/>
      <c r="I62" s="529"/>
      <c r="J62" s="529"/>
      <c r="K62" s="529"/>
      <c r="L62" s="529"/>
      <c r="M62" s="529"/>
      <c r="N62" s="529"/>
      <c r="O62" s="529"/>
      <c r="P62" s="529"/>
      <c r="Q62" s="529"/>
      <c r="R62" s="529"/>
      <c r="S62" s="529"/>
      <c r="T62" s="530"/>
      <c r="U62" s="342"/>
      <c r="V62" s="335">
        <f>+E62+H62+K62+M62</f>
        <v>0</v>
      </c>
      <c r="W62" s="342"/>
    </row>
    <row r="63" spans="1:24" x14ac:dyDescent="0.25">
      <c r="A63" s="531" t="s">
        <v>1908</v>
      </c>
      <c r="B63" s="532"/>
      <c r="C63" s="343"/>
      <c r="D63" s="331">
        <f>+D37*$C$37+D38*$C$38+D39*$C$39+D40*$C$40+D41*$C$41+D42*$C$42+D43*$C$43+D44*$C$44+D45*$C$45+D46*$C$46+D47*$C$47+D48*$C$48+D49*$C$49+D50*$C$50+D51*$C$51+D52*$C$52+D53*$C$53+D54*$C$54+D55*$C$55+D56*$C$56+D57*$C$57+D58*$C$58+D59*$C$59+D60*$C$60+D61*$C$61</f>
        <v>0.17800000000000005</v>
      </c>
      <c r="E63" s="331">
        <f>+E37*$C$37+E38*$C$38+E39*$C$39+E40*$C$40+E41*$C$41+E42*$C$42+E43*$C$43+E44*$C$44+E45*$C$45+E46*$C$46+E47*$C$47+E48*$C$48+E49*$C$49+E50*$C$50+E51*$C$51+E52*$C$52+E53*$C$53+E54*$C$54+E55*$C$55+E56*$C$56+E57*$C$57+E58*$C$58+E59*$C$59+E60*$C$60+E61*$C$61</f>
        <v>0.12800000000000003</v>
      </c>
      <c r="F63" s="331">
        <f>+E63/D63</f>
        <v>0.7191011235955056</v>
      </c>
      <c r="G63" s="331">
        <f>+G37*$C$37+G38*$C$38+G39*$C$39+G40*$C$40+G41*$C$41+G42*$C$42+G43*$C$43+G44*$C$44+G45*$C$45+G46*$C$46+G47*$C$47+G48*$C$48+G49*$C$49+G50*$C$50+G51*$C$51+G52*$C$52+G53*$C$53+G54*$C$54+G55*$C$55+G56*$C$56+G57*$C$57+G58*$C$58+G59*$C$59+G60*$C$60+G61*$C$61</f>
        <v>0.2330000000000001</v>
      </c>
      <c r="H63" s="331">
        <f>+H37*$C$37+H38*$C$38+H39*$C$39+H40*$C$40+H41*$C$41+H42*$C$42+H43*$C$43+H44*$C$44+H45*$C$45+H46*$C$46+H47*$C$47+H48*$C$48+H49*$C$49+H50*$C$50+H51*$C$51+H52*$C$52+H53*$C$53+H54*$C$54+H55*$C$55+H56*$C$56+H57*$C$57+H58*$C$58+H59*$C$59+H60*$C$60+H61*$C$61</f>
        <v>0.25800000000000006</v>
      </c>
      <c r="I63" s="331">
        <f>+H63/G63</f>
        <v>1.1072961373390555</v>
      </c>
      <c r="J63" s="331">
        <f>+J37*$C$37+J38*$C$38+J39*$C$39+J40*$C$40+J41*$C$41+J42*$C$42+J43*$C$43+J44*$C$44+J45*$C$45+J46*$C$46+J47*$C$47+J48*$C$48+J49*$C$49+J50*$C$50+J51*$C$51+J52*$C$52+J53*$C$53+J54*$C$54+J55*$C$55+J56*$C$56+J57*$C$57+J58*$C$58+J59*$C$59+J60*$C$60+J61*$C$61</f>
        <v>0.14154000000000005</v>
      </c>
      <c r="K63" s="331">
        <f>+K37*$C$37+K38*$C$38+K39*$C$39+K40*$C$40+K41*$C$41+K42*$C$42+K43*$C$43+K44*$C$44+K45*$C$45+K46*$C$46+K47*$C$47+K48*$C$48+K49*$C$49+K50*$C$50+K51*$C$51+K52*$C$52+K53*$C$53+K54*$C$54+K55*$C$55+K56*$C$56+K57*$C$57+K58*$C$58+K59*$C$59+K60*$C$60+K61*$C$61</f>
        <v>0.14154000000000005</v>
      </c>
      <c r="L63" s="331">
        <f>+K63/J63</f>
        <v>1</v>
      </c>
      <c r="M63" s="331">
        <f>+M37*$C$37+M38*$C$38+M39*$C$39+M40*$C$40+M41*$C$41+M42*$C$42+M43*$C$43+M44*$C$44+M45*$C$45+M46*$C$46+M47*$C$47+M48*$C$48+M49*$C$49+M50*$C$50+M51*$C$51+M52*$C$52+M53*$C$53+M54*$C$54+M55*$C$55+M56*$C$56+M57*$C$57+M58*$C$58+M59*$C$59+M60*$C$60+M61*$C$61</f>
        <v>1.2000000000000002E-2</v>
      </c>
      <c r="N63" s="331">
        <f t="shared" ref="N63:S63" si="44">+N37*$C$37+N38*$C$38+N39*$C$39+N40*$C$40+N41*$C$41+N42*$C$42+N43*$C$43+N44*$C$44+N45*$C$45+N46*$C$46+N47*$C$47+N48*$C$48+N49*$C$49+N50*$C$50+N51*$C$51+N52*$C$52+N53*$C$53+N54*$C$54+N55*$C$55+N56*$C$56+N57*$C$57+N58*$C$58+N59*$C$59+N60*$C$60+N61*$C$61</f>
        <v>0.10354000000000005</v>
      </c>
      <c r="O63" s="344">
        <f>+O37*$C$37+O38*$C$38+O39*$C$39+O40*$C$40+O41*$C$41+O42*$C$42+O43*$C$43+O44*$C$44+O45*$C$45+O46*$C$46+O47*$C$47+O48*$C$48+O49*$C$49+O50*$C$50+O51*$C$51+O52*$C$52+O53*$C$53+O54*$C$54+O55*$C$55+O56*$C$56+O57*$C$57+O58*$C$58+O59*$C$59+O60*$C$60+O61*$C$61</f>
        <v>9.958000000000003E-2</v>
      </c>
      <c r="P63" s="331">
        <f>+O63/N63</f>
        <v>0.96175391153177503</v>
      </c>
      <c r="Q63" s="344">
        <f t="shared" ref="Q63:R63" si="45">+Q37*$C$37+Q38*$C$38+Q39*$C$39+Q40*$C$40+Q41*$C$41+Q42*$C$42+Q43*$C$43+Q44*$C$44+Q45*$C$45+Q46*$C$46+Q47*$C$47+Q48*$C$48+Q49*$C$49+Q50*$C$50+Q51*$C$51+Q52*$C$52+Q53*$C$53+Q54*$C$54+Q55*$C$55+Q56*$C$56+Q57*$C$57+Q58*$C$58+Q59*$C$59+Q60*$C$60+Q61*$C$61</f>
        <v>1.3000000000000001E-2</v>
      </c>
      <c r="R63" s="344">
        <f t="shared" si="45"/>
        <v>0</v>
      </c>
      <c r="S63" s="331">
        <f t="shared" si="44"/>
        <v>0.34392</v>
      </c>
      <c r="T63" s="331">
        <f>+D63+G63+J63+N63+S63</f>
        <v>1.0000000000000004</v>
      </c>
      <c r="U63" s="335">
        <f>+D63+G63+J63</f>
        <v>0.55254000000000025</v>
      </c>
      <c r="V63" s="335">
        <f>+E63+H63+K63+M63</f>
        <v>0.53954000000000013</v>
      </c>
      <c r="W63" s="335">
        <f t="shared" ref="W63" si="46">+V63/U63</f>
        <v>0.97647229159879811</v>
      </c>
    </row>
    <row r="64" spans="1:24" x14ac:dyDescent="0.25">
      <c r="B64" s="325"/>
      <c r="H64" s="137"/>
    </row>
    <row r="65" spans="1:26" x14ac:dyDescent="0.25">
      <c r="B65" s="325"/>
      <c r="H65" s="137"/>
    </row>
    <row r="66" spans="1:26" ht="18.75" x14ac:dyDescent="0.3">
      <c r="A66" s="535" t="s">
        <v>1</v>
      </c>
      <c r="B66" s="535"/>
      <c r="C66" s="535"/>
      <c r="D66" s="535"/>
      <c r="E66" s="535"/>
      <c r="F66" s="535"/>
      <c r="G66" s="535"/>
      <c r="H66" s="535"/>
      <c r="I66" s="535"/>
      <c r="J66" s="535"/>
      <c r="K66" s="535"/>
      <c r="L66" s="535"/>
      <c r="M66" s="535"/>
      <c r="N66" s="535"/>
      <c r="O66" s="535"/>
      <c r="P66" s="535"/>
      <c r="Q66" s="535"/>
      <c r="R66" s="535"/>
      <c r="S66" s="535"/>
      <c r="T66" s="535"/>
      <c r="U66" s="324"/>
      <c r="V66" s="324"/>
      <c r="W66" s="324"/>
    </row>
    <row r="67" spans="1:26" ht="18.75" x14ac:dyDescent="0.3">
      <c r="A67" s="535" t="s">
        <v>1884</v>
      </c>
      <c r="B67" s="535"/>
      <c r="C67" s="535"/>
      <c r="D67" s="535"/>
      <c r="E67" s="535"/>
      <c r="F67" s="535"/>
      <c r="G67" s="535"/>
      <c r="H67" s="535"/>
      <c r="I67" s="535"/>
      <c r="J67" s="535"/>
      <c r="K67" s="535"/>
      <c r="L67" s="535"/>
      <c r="M67" s="535"/>
      <c r="N67" s="535"/>
      <c r="O67" s="535"/>
      <c r="P67" s="535"/>
      <c r="Q67" s="535"/>
      <c r="R67" s="535"/>
      <c r="S67" s="535"/>
      <c r="T67" s="535"/>
      <c r="U67" s="324"/>
      <c r="V67" s="324"/>
      <c r="W67" s="324"/>
    </row>
    <row r="68" spans="1:26" ht="18.75" x14ac:dyDescent="0.3">
      <c r="A68" s="535" t="s">
        <v>1885</v>
      </c>
      <c r="B68" s="535"/>
      <c r="C68" s="535"/>
      <c r="D68" s="535"/>
      <c r="E68" s="535"/>
      <c r="F68" s="535"/>
      <c r="G68" s="535"/>
      <c r="H68" s="535"/>
      <c r="I68" s="535"/>
      <c r="J68" s="535"/>
      <c r="K68" s="535"/>
      <c r="L68" s="535"/>
      <c r="M68" s="535"/>
      <c r="N68" s="535"/>
      <c r="O68" s="535"/>
      <c r="P68" s="535"/>
      <c r="Q68" s="535"/>
      <c r="R68" s="535"/>
      <c r="S68" s="535"/>
      <c r="T68" s="535"/>
      <c r="U68" s="324"/>
      <c r="V68" s="324"/>
      <c r="W68" s="324"/>
    </row>
    <row r="69" spans="1:26" ht="18.75" x14ac:dyDescent="0.3">
      <c r="A69" s="535" t="s">
        <v>1964</v>
      </c>
      <c r="B69" s="535"/>
      <c r="C69" s="535"/>
      <c r="D69" s="535"/>
      <c r="E69" s="535"/>
      <c r="F69" s="535"/>
      <c r="G69" s="535"/>
      <c r="H69" s="535"/>
      <c r="I69" s="535"/>
      <c r="J69" s="535"/>
      <c r="K69" s="535"/>
      <c r="L69" s="535"/>
      <c r="M69" s="535"/>
      <c r="N69" s="535"/>
      <c r="O69" s="535"/>
      <c r="P69" s="535"/>
      <c r="Q69" s="535"/>
      <c r="R69" s="535"/>
      <c r="S69" s="535"/>
      <c r="T69" s="535"/>
      <c r="U69" s="324"/>
      <c r="V69" s="324"/>
      <c r="W69" s="324"/>
    </row>
    <row r="70" spans="1:26" ht="18.75" x14ac:dyDescent="0.3">
      <c r="A70" s="535" t="s">
        <v>2224</v>
      </c>
      <c r="B70" s="535"/>
      <c r="C70" s="535"/>
      <c r="D70" s="535"/>
      <c r="E70" s="535"/>
      <c r="F70" s="535"/>
      <c r="G70" s="535"/>
      <c r="H70" s="535"/>
      <c r="I70" s="535"/>
      <c r="J70" s="535"/>
      <c r="K70" s="535"/>
      <c r="L70" s="535"/>
      <c r="M70" s="535"/>
      <c r="N70" s="535"/>
      <c r="O70" s="535"/>
      <c r="P70" s="535"/>
      <c r="Q70" s="535"/>
      <c r="R70" s="535"/>
      <c r="S70" s="535"/>
      <c r="T70" s="535"/>
      <c r="U70" s="324"/>
      <c r="V70" s="324"/>
      <c r="W70" s="324"/>
    </row>
    <row r="71" spans="1:26" x14ac:dyDescent="0.25">
      <c r="B71" s="325"/>
      <c r="H71" s="137"/>
    </row>
    <row r="72" spans="1:26" x14ac:dyDescent="0.25">
      <c r="A72" s="537" t="s">
        <v>1910</v>
      </c>
      <c r="B72" s="537" t="s">
        <v>1911</v>
      </c>
      <c r="C72" s="537" t="s">
        <v>1888</v>
      </c>
      <c r="D72" s="531" t="s">
        <v>1912</v>
      </c>
      <c r="E72" s="539"/>
      <c r="F72" s="539"/>
      <c r="G72" s="539"/>
      <c r="H72" s="539"/>
      <c r="I72" s="539"/>
      <c r="J72" s="539"/>
      <c r="K72" s="539"/>
      <c r="L72" s="539"/>
      <c r="M72" s="539"/>
      <c r="N72" s="539"/>
      <c r="O72" s="539"/>
      <c r="P72" s="539"/>
      <c r="Q72" s="539"/>
      <c r="R72" s="539"/>
      <c r="S72" s="539"/>
      <c r="T72" s="532"/>
      <c r="U72" s="534" t="s">
        <v>1890</v>
      </c>
      <c r="V72" s="534"/>
      <c r="W72" s="534"/>
    </row>
    <row r="73" spans="1:26" ht="45" x14ac:dyDescent="0.25">
      <c r="A73" s="538" t="s">
        <v>1910</v>
      </c>
      <c r="B73" s="538"/>
      <c r="C73" s="538" t="s">
        <v>1888</v>
      </c>
      <c r="D73" s="326">
        <v>2012</v>
      </c>
      <c r="E73" s="326" t="s">
        <v>1891</v>
      </c>
      <c r="F73" s="326" t="s">
        <v>1892</v>
      </c>
      <c r="G73" s="326">
        <v>2013</v>
      </c>
      <c r="H73" s="326" t="s">
        <v>1891</v>
      </c>
      <c r="I73" s="326" t="s">
        <v>1892</v>
      </c>
      <c r="J73" s="326">
        <v>2014</v>
      </c>
      <c r="K73" s="326" t="s">
        <v>1891</v>
      </c>
      <c r="L73" s="326" t="s">
        <v>1892</v>
      </c>
      <c r="M73" s="326" t="s">
        <v>1965</v>
      </c>
      <c r="N73" s="326">
        <v>2015</v>
      </c>
      <c r="O73" s="326" t="s">
        <v>1891</v>
      </c>
      <c r="P73" s="326" t="s">
        <v>1892</v>
      </c>
      <c r="Q73" s="327" t="s">
        <v>1894</v>
      </c>
      <c r="R73" s="327" t="s">
        <v>1895</v>
      </c>
      <c r="S73" s="326">
        <v>2016</v>
      </c>
      <c r="T73" s="326" t="s">
        <v>1896</v>
      </c>
      <c r="U73" s="328" t="s">
        <v>1897</v>
      </c>
      <c r="V73" s="328" t="s">
        <v>1898</v>
      </c>
      <c r="W73" s="328" t="s">
        <v>1899</v>
      </c>
    </row>
    <row r="74" spans="1:26" ht="30" x14ac:dyDescent="0.25">
      <c r="A74" s="42" t="s">
        <v>1966</v>
      </c>
      <c r="B74" s="72" t="s">
        <v>1967</v>
      </c>
      <c r="C74" s="331">
        <v>0.1</v>
      </c>
      <c r="D74" s="35">
        <v>0.2</v>
      </c>
      <c r="E74" s="35">
        <v>0.2</v>
      </c>
      <c r="F74" s="35">
        <f t="shared" ref="F74:F89" si="47">+E74/D74</f>
        <v>1</v>
      </c>
      <c r="G74" s="35">
        <v>0.2</v>
      </c>
      <c r="H74" s="35">
        <v>0.2</v>
      </c>
      <c r="I74" s="35">
        <f t="shared" ref="I74:I89" si="48">+H74/G74</f>
        <v>1</v>
      </c>
      <c r="J74" s="35">
        <v>0.2</v>
      </c>
      <c r="K74" s="35">
        <v>0.2</v>
      </c>
      <c r="L74" s="35">
        <f t="shared" ref="L74:L88" si="49">+K74/J74</f>
        <v>1</v>
      </c>
      <c r="M74" s="35"/>
      <c r="N74" s="35">
        <v>0.2</v>
      </c>
      <c r="O74" s="35">
        <v>0.2</v>
      </c>
      <c r="P74" s="46">
        <f t="shared" ref="P74:P88" si="50">+O74/N74</f>
        <v>1</v>
      </c>
      <c r="Q74" s="46"/>
      <c r="R74" s="46"/>
      <c r="S74" s="35">
        <v>0.2</v>
      </c>
      <c r="T74" s="331">
        <f t="shared" ref="T74:T89" si="51">+D74+G74+J74+N74+S74</f>
        <v>1</v>
      </c>
      <c r="U74" s="335">
        <f t="shared" ref="U74:U89" si="52">+D74+G74+J74+N74</f>
        <v>0.8</v>
      </c>
      <c r="V74" s="335">
        <f>+E74+H74+K74+M74+O74+Q74+R74</f>
        <v>0.8</v>
      </c>
      <c r="W74" s="335">
        <f t="shared" ref="W74:W89" si="53">+V74/U74</f>
        <v>1</v>
      </c>
    </row>
    <row r="75" spans="1:26" x14ac:dyDescent="0.25">
      <c r="A75" s="42" t="s">
        <v>1968</v>
      </c>
      <c r="B75" s="72" t="s">
        <v>1969</v>
      </c>
      <c r="C75" s="331">
        <v>0.1</v>
      </c>
      <c r="D75" s="35">
        <v>0.2</v>
      </c>
      <c r="E75" s="35">
        <v>0.2</v>
      </c>
      <c r="F75" s="35">
        <f t="shared" si="47"/>
        <v>1</v>
      </c>
      <c r="G75" s="35">
        <v>0.2</v>
      </c>
      <c r="H75" s="35">
        <v>0.2</v>
      </c>
      <c r="I75" s="35">
        <f t="shared" si="48"/>
        <v>1</v>
      </c>
      <c r="J75" s="35">
        <v>0.2</v>
      </c>
      <c r="K75" s="35">
        <v>0.2</v>
      </c>
      <c r="L75" s="35">
        <f t="shared" si="49"/>
        <v>1</v>
      </c>
      <c r="M75" s="35"/>
      <c r="N75" s="35">
        <v>0.2</v>
      </c>
      <c r="O75" s="35">
        <v>0.2</v>
      </c>
      <c r="P75" s="46">
        <f t="shared" si="50"/>
        <v>1</v>
      </c>
      <c r="Q75" s="46"/>
      <c r="R75" s="46"/>
      <c r="S75" s="35">
        <v>0.2</v>
      </c>
      <c r="T75" s="331">
        <f t="shared" si="51"/>
        <v>1</v>
      </c>
      <c r="U75" s="335">
        <f t="shared" si="52"/>
        <v>0.8</v>
      </c>
      <c r="V75" s="335">
        <f t="shared" ref="V75:V89" si="54">+E75+H75+K75+M75+O75+Q75+R75</f>
        <v>0.8</v>
      </c>
      <c r="W75" s="335">
        <f t="shared" si="53"/>
        <v>1</v>
      </c>
    </row>
    <row r="76" spans="1:26" x14ac:dyDescent="0.25">
      <c r="A76" s="42" t="s">
        <v>1970</v>
      </c>
      <c r="B76" s="72" t="s">
        <v>1971</v>
      </c>
      <c r="C76" s="331">
        <v>0.15</v>
      </c>
      <c r="D76" s="35">
        <v>0.2</v>
      </c>
      <c r="E76" s="35">
        <f>20%*90%</f>
        <v>0.18000000000000002</v>
      </c>
      <c r="F76" s="35">
        <f t="shared" si="47"/>
        <v>0.9</v>
      </c>
      <c r="G76" s="35">
        <v>0.2</v>
      </c>
      <c r="H76" s="107">
        <f>2%+20%</f>
        <v>0.22</v>
      </c>
      <c r="I76" s="35">
        <f t="shared" si="48"/>
        <v>1.0999999999999999</v>
      </c>
      <c r="J76" s="35">
        <v>0.2</v>
      </c>
      <c r="K76" s="35">
        <f>20%*25%</f>
        <v>0.05</v>
      </c>
      <c r="L76" s="35">
        <f t="shared" si="49"/>
        <v>0.25</v>
      </c>
      <c r="M76" s="35"/>
      <c r="N76" s="35">
        <v>0.2</v>
      </c>
      <c r="O76" s="35">
        <v>0.2</v>
      </c>
      <c r="P76" s="46">
        <f t="shared" si="50"/>
        <v>1</v>
      </c>
      <c r="Q76" s="35">
        <f>20%*75%</f>
        <v>0.15000000000000002</v>
      </c>
      <c r="R76" s="46">
        <v>0.1</v>
      </c>
      <c r="S76" s="35">
        <v>0.2</v>
      </c>
      <c r="T76" s="331">
        <f t="shared" si="51"/>
        <v>1</v>
      </c>
      <c r="U76" s="335">
        <f t="shared" si="52"/>
        <v>0.8</v>
      </c>
      <c r="V76" s="335">
        <f t="shared" si="54"/>
        <v>0.9</v>
      </c>
      <c r="W76" s="335">
        <f t="shared" si="53"/>
        <v>1.125</v>
      </c>
    </row>
    <row r="77" spans="1:26" ht="19.5" customHeight="1" x14ac:dyDescent="0.25">
      <c r="A77" s="42" t="s">
        <v>1972</v>
      </c>
      <c r="B77" s="72" t="s">
        <v>1973</v>
      </c>
      <c r="C77" s="331">
        <v>0.1</v>
      </c>
      <c r="D77" s="107">
        <f>21%*80%+29%*20%</f>
        <v>0.22600000000000001</v>
      </c>
      <c r="E77" s="107">
        <f>80%*18.27%+20%*18.56%</f>
        <v>0.18328</v>
      </c>
      <c r="F77" s="107">
        <f t="shared" si="47"/>
        <v>0.81097345132743359</v>
      </c>
      <c r="G77" s="107">
        <f>22%*80%+29%*20%</f>
        <v>0.23400000000000001</v>
      </c>
      <c r="H77" s="107">
        <f>80%*2.73%+20%*10.44%+(80%*22%+20%*15.95%)</f>
        <v>0.25062000000000001</v>
      </c>
      <c r="I77" s="107">
        <f t="shared" si="48"/>
        <v>1.0710256410256409</v>
      </c>
      <c r="J77" s="107">
        <f>19%*80%+14%*20%</f>
        <v>0.18000000000000002</v>
      </c>
      <c r="K77" s="107">
        <f>16.53%*80%+14%*20%</f>
        <v>0.16023999999999999</v>
      </c>
      <c r="L77" s="107">
        <f t="shared" si="49"/>
        <v>0.89022222222222214</v>
      </c>
      <c r="M77" s="107">
        <v>1.7999999999999999E-2</v>
      </c>
      <c r="N77" s="107">
        <f t="shared" ref="N77:S77" si="55">19%*80%+14%*20%</f>
        <v>0.18000000000000002</v>
      </c>
      <c r="O77" s="107">
        <v>0.18</v>
      </c>
      <c r="P77" s="46">
        <f t="shared" si="50"/>
        <v>0.99999999999999989</v>
      </c>
      <c r="Q77" s="46">
        <v>0.01</v>
      </c>
      <c r="R77" s="46">
        <v>0.02</v>
      </c>
      <c r="S77" s="107">
        <f t="shared" si="55"/>
        <v>0.18000000000000002</v>
      </c>
      <c r="T77" s="331">
        <f t="shared" si="51"/>
        <v>1</v>
      </c>
      <c r="U77" s="335">
        <f t="shared" si="52"/>
        <v>0.82000000000000006</v>
      </c>
      <c r="V77" s="335">
        <f t="shared" si="54"/>
        <v>0.82214000000000009</v>
      </c>
      <c r="W77" s="335">
        <f t="shared" si="53"/>
        <v>1.0026097560975611</v>
      </c>
    </row>
    <row r="78" spans="1:26" ht="15" hidden="1" customHeight="1" x14ac:dyDescent="0.25">
      <c r="A78" s="42"/>
      <c r="B78" s="36"/>
      <c r="C78" s="331"/>
      <c r="D78" s="107"/>
      <c r="E78" s="107"/>
      <c r="F78" s="107"/>
      <c r="G78" s="107"/>
      <c r="H78" s="107"/>
      <c r="I78" s="107"/>
      <c r="J78" s="107"/>
      <c r="K78" s="107"/>
      <c r="L78" s="107"/>
      <c r="M78" s="107"/>
      <c r="N78" s="107"/>
      <c r="O78" s="107"/>
      <c r="P78" s="46" t="e">
        <f t="shared" si="50"/>
        <v>#DIV/0!</v>
      </c>
      <c r="Q78" s="46"/>
      <c r="R78" s="46"/>
      <c r="S78" s="35"/>
      <c r="T78" s="331">
        <f t="shared" si="51"/>
        <v>0</v>
      </c>
      <c r="U78" s="335">
        <f t="shared" si="52"/>
        <v>0</v>
      </c>
      <c r="V78" s="335">
        <f t="shared" si="54"/>
        <v>0</v>
      </c>
      <c r="W78" s="335"/>
    </row>
    <row r="79" spans="1:26" x14ac:dyDescent="0.25">
      <c r="A79" s="42" t="s">
        <v>1974</v>
      </c>
      <c r="B79" s="72" t="s">
        <v>1975</v>
      </c>
      <c r="C79" s="331">
        <v>0.05</v>
      </c>
      <c r="D79" s="107">
        <f>100%*50%+20%*10%+100%*10%</f>
        <v>0.62</v>
      </c>
      <c r="E79" s="107">
        <f>100%*50%+20%*10%+100%*10%</f>
        <v>0.62</v>
      </c>
      <c r="F79" s="107">
        <f t="shared" si="47"/>
        <v>1</v>
      </c>
      <c r="G79" s="107">
        <f>25%*30%+20%*10%</f>
        <v>9.5000000000000001E-2</v>
      </c>
      <c r="H79" s="107">
        <f>20%*10%</f>
        <v>2.0000000000000004E-2</v>
      </c>
      <c r="I79" s="107">
        <f t="shared" si="48"/>
        <v>0.21052631578947373</v>
      </c>
      <c r="J79" s="107">
        <f>25%*30%+20%*10%</f>
        <v>9.5000000000000001E-2</v>
      </c>
      <c r="K79" s="107">
        <f>(25%*30%+20%*10%)*0.65</f>
        <v>6.1750000000000006E-2</v>
      </c>
      <c r="L79" s="107">
        <f t="shared" si="49"/>
        <v>0.65</v>
      </c>
      <c r="M79" s="107"/>
      <c r="N79" s="107">
        <f>25%*30%+20%*10%</f>
        <v>9.5000000000000001E-2</v>
      </c>
      <c r="O79" s="107">
        <f>+N79*0.9</f>
        <v>8.5500000000000007E-2</v>
      </c>
      <c r="P79" s="46">
        <f t="shared" si="50"/>
        <v>0.9</v>
      </c>
      <c r="Q79" s="46"/>
      <c r="R79" s="107">
        <f>(25%*30%+20%*10%)*0.35</f>
        <v>3.3249999999999995E-2</v>
      </c>
      <c r="S79" s="107">
        <f>25%*30%+20%*10%</f>
        <v>9.5000000000000001E-2</v>
      </c>
      <c r="T79" s="331">
        <f t="shared" si="51"/>
        <v>0.99999999999999989</v>
      </c>
      <c r="U79" s="335">
        <f t="shared" si="52"/>
        <v>0.90499999999999992</v>
      </c>
      <c r="V79" s="335">
        <f t="shared" si="54"/>
        <v>0.82050000000000001</v>
      </c>
      <c r="W79" s="335">
        <f t="shared" si="53"/>
        <v>0.90662983425414378</v>
      </c>
      <c r="X79" s="325" t="s">
        <v>1976</v>
      </c>
    </row>
    <row r="80" spans="1:26" x14ac:dyDescent="0.25">
      <c r="A80" s="42" t="s">
        <v>1977</v>
      </c>
      <c r="B80" s="36" t="s">
        <v>1978</v>
      </c>
      <c r="C80" s="331">
        <v>0.05</v>
      </c>
      <c r="D80" s="107">
        <v>1</v>
      </c>
      <c r="E80" s="107">
        <v>1</v>
      </c>
      <c r="F80" s="107">
        <f t="shared" si="47"/>
        <v>1</v>
      </c>
      <c r="G80" s="107"/>
      <c r="H80" s="107"/>
      <c r="I80" s="107"/>
      <c r="J80" s="107"/>
      <c r="K80" s="107"/>
      <c r="L80" s="107"/>
      <c r="M80" s="107"/>
      <c r="N80" s="107"/>
      <c r="O80" s="107"/>
      <c r="P80" s="46"/>
      <c r="Q80" s="46"/>
      <c r="R80" s="46"/>
      <c r="S80" s="35"/>
      <c r="T80" s="331">
        <f t="shared" si="51"/>
        <v>1</v>
      </c>
      <c r="U80" s="335">
        <f t="shared" si="52"/>
        <v>1</v>
      </c>
      <c r="V80" s="335">
        <f t="shared" si="54"/>
        <v>1</v>
      </c>
      <c r="W80" s="335">
        <f t="shared" si="53"/>
        <v>1</v>
      </c>
      <c r="Y80" s="332">
        <f>SUM(H75:H81)</f>
        <v>0.94062000000000001</v>
      </c>
      <c r="Z80">
        <f>+Y80/7</f>
        <v>0.13437428571428572</v>
      </c>
    </row>
    <row r="81" spans="1:34" ht="29.25" customHeight="1" x14ac:dyDescent="0.25">
      <c r="A81" s="42" t="s">
        <v>1979</v>
      </c>
      <c r="B81" s="36" t="s">
        <v>1980</v>
      </c>
      <c r="C81" s="331">
        <v>0.05</v>
      </c>
      <c r="D81" s="107">
        <v>0.25</v>
      </c>
      <c r="E81" s="107">
        <v>0.25</v>
      </c>
      <c r="F81" s="107">
        <f t="shared" si="47"/>
        <v>1</v>
      </c>
      <c r="G81" s="107">
        <v>0.25</v>
      </c>
      <c r="H81" s="107">
        <v>0.25</v>
      </c>
      <c r="I81" s="107">
        <f t="shared" si="48"/>
        <v>1</v>
      </c>
      <c r="J81" s="107">
        <v>0.25</v>
      </c>
      <c r="K81" s="107">
        <v>0.25</v>
      </c>
      <c r="L81" s="107">
        <f t="shared" si="49"/>
        <v>1</v>
      </c>
      <c r="M81" s="107"/>
      <c r="N81" s="107">
        <v>0.25</v>
      </c>
      <c r="O81" s="107">
        <v>0.25</v>
      </c>
      <c r="P81" s="46">
        <f t="shared" si="50"/>
        <v>1</v>
      </c>
      <c r="Q81" s="46"/>
      <c r="R81" s="46"/>
      <c r="S81" s="35"/>
      <c r="T81" s="331">
        <f t="shared" si="51"/>
        <v>1</v>
      </c>
      <c r="U81" s="335">
        <f t="shared" si="52"/>
        <v>1</v>
      </c>
      <c r="V81" s="335">
        <f t="shared" si="54"/>
        <v>1</v>
      </c>
      <c r="W81" s="335">
        <f t="shared" si="53"/>
        <v>1</v>
      </c>
    </row>
    <row r="82" spans="1:34" ht="29.25" customHeight="1" x14ac:dyDescent="0.25">
      <c r="A82" s="42" t="s">
        <v>1981</v>
      </c>
      <c r="B82" s="36" t="s">
        <v>1982</v>
      </c>
      <c r="C82" s="331">
        <v>0.1</v>
      </c>
      <c r="D82" s="107">
        <v>1</v>
      </c>
      <c r="E82" s="107">
        <f>30%*25%</f>
        <v>7.4999999999999997E-2</v>
      </c>
      <c r="F82" s="107">
        <f t="shared" si="47"/>
        <v>7.4999999999999997E-2</v>
      </c>
      <c r="G82" s="107"/>
      <c r="H82" s="107"/>
      <c r="I82" s="107"/>
      <c r="J82" s="107"/>
      <c r="K82" s="107"/>
      <c r="L82" s="107"/>
      <c r="M82" s="107"/>
      <c r="N82" s="345">
        <v>0</v>
      </c>
      <c r="O82" s="345"/>
      <c r="P82" s="46"/>
      <c r="Q82" s="46"/>
      <c r="R82" s="46"/>
      <c r="S82" s="35"/>
      <c r="T82" s="331">
        <f t="shared" si="51"/>
        <v>1</v>
      </c>
      <c r="U82" s="335">
        <f t="shared" si="52"/>
        <v>1</v>
      </c>
      <c r="V82" s="335">
        <f t="shared" si="54"/>
        <v>7.4999999999999997E-2</v>
      </c>
      <c r="W82" s="335">
        <f t="shared" si="53"/>
        <v>7.4999999999999997E-2</v>
      </c>
      <c r="X82" s="325" t="s">
        <v>1983</v>
      </c>
    </row>
    <row r="83" spans="1:34" ht="29.25" customHeight="1" x14ac:dyDescent="0.25">
      <c r="A83" s="42" t="s">
        <v>1984</v>
      </c>
      <c r="B83" s="36" t="s">
        <v>1985</v>
      </c>
      <c r="C83" s="331">
        <v>0</v>
      </c>
      <c r="D83" s="107">
        <v>0</v>
      </c>
      <c r="E83" s="107">
        <v>0</v>
      </c>
      <c r="F83" s="107">
        <v>0</v>
      </c>
      <c r="G83" s="107">
        <v>0</v>
      </c>
      <c r="H83" s="107"/>
      <c r="I83" s="107"/>
      <c r="J83" s="107">
        <v>0</v>
      </c>
      <c r="K83" s="107"/>
      <c r="L83" s="107"/>
      <c r="M83" s="107"/>
      <c r="N83" s="107"/>
      <c r="O83" s="107"/>
      <c r="P83" s="46"/>
      <c r="Q83" s="46"/>
      <c r="R83" s="46"/>
      <c r="S83" s="35"/>
      <c r="T83" s="331">
        <f t="shared" si="51"/>
        <v>0</v>
      </c>
      <c r="U83" s="335">
        <f t="shared" si="52"/>
        <v>0</v>
      </c>
      <c r="V83" s="335">
        <f t="shared" si="54"/>
        <v>0</v>
      </c>
      <c r="W83" s="335"/>
      <c r="Y83">
        <v>2012</v>
      </c>
      <c r="AE83">
        <v>2013</v>
      </c>
    </row>
    <row r="84" spans="1:34" ht="63" customHeight="1" x14ac:dyDescent="0.25">
      <c r="A84" s="42" t="s">
        <v>1986</v>
      </c>
      <c r="B84" s="36" t="s">
        <v>1987</v>
      </c>
      <c r="C84" s="331">
        <v>0.05</v>
      </c>
      <c r="D84" s="35">
        <f>100%*30%+20%*60%+20%*10%</f>
        <v>0.44</v>
      </c>
      <c r="E84" s="35">
        <f>100%*30%+20%*60%+20%*10%</f>
        <v>0.44</v>
      </c>
      <c r="F84" s="35">
        <f t="shared" si="47"/>
        <v>1</v>
      </c>
      <c r="G84" s="35">
        <f>20%*60%+20%*10%</f>
        <v>0.14000000000000001</v>
      </c>
      <c r="H84" s="35">
        <f>20%*60%+20%*10%</f>
        <v>0.14000000000000001</v>
      </c>
      <c r="I84" s="35">
        <f t="shared" si="48"/>
        <v>1</v>
      </c>
      <c r="J84" s="35">
        <f>20%*60%+20%*10%</f>
        <v>0.14000000000000001</v>
      </c>
      <c r="K84" s="35">
        <f>20%*60%+20%*10%</f>
        <v>0.14000000000000001</v>
      </c>
      <c r="L84" s="35">
        <f t="shared" si="49"/>
        <v>1</v>
      </c>
      <c r="M84" s="35"/>
      <c r="N84" s="35">
        <f>20%*60%+20%*10%</f>
        <v>0.14000000000000001</v>
      </c>
      <c r="O84" s="35">
        <v>0.14000000000000001</v>
      </c>
      <c r="P84" s="46">
        <f t="shared" si="50"/>
        <v>1</v>
      </c>
      <c r="Q84" s="46"/>
      <c r="R84" s="46"/>
      <c r="S84" s="35">
        <f>20%*60%+20%*10%</f>
        <v>0.14000000000000001</v>
      </c>
      <c r="T84" s="331">
        <f t="shared" si="51"/>
        <v>1</v>
      </c>
      <c r="U84" s="335">
        <f t="shared" si="52"/>
        <v>0.8600000000000001</v>
      </c>
      <c r="V84" s="335">
        <f t="shared" si="54"/>
        <v>0.8600000000000001</v>
      </c>
      <c r="W84" s="335">
        <f t="shared" si="53"/>
        <v>1</v>
      </c>
      <c r="Y84" s="332">
        <f>SUM(D74:D84)-100%</f>
        <v>3.1360000000000001</v>
      </c>
      <c r="Z84" s="332">
        <f>SUM(E74:E84)-100%</f>
        <v>2.1482800000000002</v>
      </c>
      <c r="AA84" s="332">
        <f>+Z84/Y84</f>
        <v>0.68503826530612244</v>
      </c>
      <c r="AB84" s="325" t="s">
        <v>1988</v>
      </c>
      <c r="AE84" s="332">
        <f>SUM(G74:G84)</f>
        <v>1.319</v>
      </c>
      <c r="AF84" s="332">
        <f>SUM(H75:H84)</f>
        <v>1.0806200000000001</v>
      </c>
      <c r="AG84" s="332">
        <f>+AF84/AE84</f>
        <v>0.81927217589082657</v>
      </c>
      <c r="AH84" s="325" t="s">
        <v>1988</v>
      </c>
    </row>
    <row r="85" spans="1:34" ht="29.25" customHeight="1" x14ac:dyDescent="0.25">
      <c r="A85" s="336" t="s">
        <v>1989</v>
      </c>
      <c r="B85" s="64" t="s">
        <v>1990</v>
      </c>
      <c r="C85" s="331">
        <v>0.05</v>
      </c>
      <c r="D85" s="346">
        <v>0.2</v>
      </c>
      <c r="E85" s="346">
        <v>0.2</v>
      </c>
      <c r="F85" s="35">
        <f t="shared" si="47"/>
        <v>1</v>
      </c>
      <c r="G85" s="346">
        <v>0.2</v>
      </c>
      <c r="H85" s="346">
        <v>0.2</v>
      </c>
      <c r="I85" s="35">
        <f t="shared" si="48"/>
        <v>1</v>
      </c>
      <c r="J85" s="346">
        <v>0.2</v>
      </c>
      <c r="K85" s="346">
        <v>0.2</v>
      </c>
      <c r="L85" s="35">
        <f t="shared" si="49"/>
        <v>1</v>
      </c>
      <c r="M85" s="35"/>
      <c r="N85" s="346">
        <v>0.2</v>
      </c>
      <c r="O85" s="65">
        <v>0.2</v>
      </c>
      <c r="P85" s="46">
        <f t="shared" si="50"/>
        <v>1</v>
      </c>
      <c r="Q85" s="46"/>
      <c r="R85" s="46"/>
      <c r="S85" s="346">
        <v>0.2</v>
      </c>
      <c r="T85" s="331">
        <f t="shared" si="51"/>
        <v>1</v>
      </c>
      <c r="U85" s="335">
        <f t="shared" si="52"/>
        <v>0.8</v>
      </c>
      <c r="V85" s="335">
        <f t="shared" si="54"/>
        <v>0.8</v>
      </c>
      <c r="W85" s="335">
        <f t="shared" si="53"/>
        <v>1</v>
      </c>
    </row>
    <row r="86" spans="1:34" ht="29.25" customHeight="1" x14ac:dyDescent="0.25">
      <c r="A86" s="336" t="s">
        <v>1991</v>
      </c>
      <c r="B86" s="64" t="s">
        <v>1992</v>
      </c>
      <c r="C86" s="331">
        <v>0.05</v>
      </c>
      <c r="D86" s="346">
        <v>0.2</v>
      </c>
      <c r="E86" s="346">
        <v>0</v>
      </c>
      <c r="F86" s="35">
        <f t="shared" si="47"/>
        <v>0</v>
      </c>
      <c r="G86" s="346">
        <v>0.2</v>
      </c>
      <c r="H86" s="65">
        <f>20%*55%</f>
        <v>0.11000000000000001</v>
      </c>
      <c r="I86" s="35">
        <f t="shared" si="48"/>
        <v>0.55000000000000004</v>
      </c>
      <c r="J86" s="346">
        <v>0.2</v>
      </c>
      <c r="K86" s="35">
        <f>20%*25%</f>
        <v>0.05</v>
      </c>
      <c r="L86" s="35">
        <f t="shared" si="49"/>
        <v>0.25</v>
      </c>
      <c r="M86" s="35"/>
      <c r="N86" s="346"/>
      <c r="O86" s="346"/>
      <c r="P86" s="46"/>
      <c r="Q86" s="65">
        <f>20%*35%</f>
        <v>6.9999999999999993E-2</v>
      </c>
      <c r="R86" s="35">
        <f>20%*65%</f>
        <v>0.13</v>
      </c>
      <c r="S86" s="347">
        <v>0.4</v>
      </c>
      <c r="T86" s="331">
        <f t="shared" si="51"/>
        <v>1</v>
      </c>
      <c r="U86" s="335">
        <f t="shared" si="52"/>
        <v>0.60000000000000009</v>
      </c>
      <c r="V86" s="335">
        <f t="shared" si="54"/>
        <v>0.36000000000000004</v>
      </c>
      <c r="W86" s="335">
        <f t="shared" si="53"/>
        <v>0.6</v>
      </c>
      <c r="X86" s="325" t="s">
        <v>1993</v>
      </c>
    </row>
    <row r="87" spans="1:34" ht="29.25" customHeight="1" x14ac:dyDescent="0.25">
      <c r="A87" s="336" t="s">
        <v>1994</v>
      </c>
      <c r="B87" s="339" t="s">
        <v>1995</v>
      </c>
      <c r="C87" s="331">
        <v>0.05</v>
      </c>
      <c r="D87" s="346">
        <v>0.2</v>
      </c>
      <c r="E87" s="346">
        <v>0.2</v>
      </c>
      <c r="F87" s="35">
        <f t="shared" si="47"/>
        <v>1</v>
      </c>
      <c r="G87" s="346">
        <v>0.2</v>
      </c>
      <c r="H87" s="346">
        <v>0.2</v>
      </c>
      <c r="I87" s="35">
        <f t="shared" si="48"/>
        <v>1</v>
      </c>
      <c r="J87" s="346">
        <v>0.2</v>
      </c>
      <c r="K87" s="346">
        <v>0.2</v>
      </c>
      <c r="L87" s="35">
        <f t="shared" si="49"/>
        <v>1</v>
      </c>
      <c r="M87" s="35"/>
      <c r="N87" s="346">
        <v>0.2</v>
      </c>
      <c r="O87" s="346">
        <v>0.2</v>
      </c>
      <c r="P87" s="46">
        <f t="shared" si="50"/>
        <v>1</v>
      </c>
      <c r="Q87" s="46"/>
      <c r="R87" s="46"/>
      <c r="S87" s="346">
        <v>0.2</v>
      </c>
      <c r="T87" s="331">
        <f t="shared" si="51"/>
        <v>1</v>
      </c>
      <c r="U87" s="335">
        <f t="shared" si="52"/>
        <v>0.8</v>
      </c>
      <c r="V87" s="335">
        <f t="shared" si="54"/>
        <v>0.8</v>
      </c>
      <c r="W87" s="335">
        <f t="shared" si="53"/>
        <v>1</v>
      </c>
    </row>
    <row r="88" spans="1:34" ht="30" x14ac:dyDescent="0.25">
      <c r="A88" s="42" t="s">
        <v>1996</v>
      </c>
      <c r="B88" s="72" t="s">
        <v>1997</v>
      </c>
      <c r="C88" s="331">
        <v>0.05</v>
      </c>
      <c r="D88" s="35">
        <v>0.2</v>
      </c>
      <c r="E88" s="35">
        <v>0.2</v>
      </c>
      <c r="F88" s="35">
        <f t="shared" si="47"/>
        <v>1</v>
      </c>
      <c r="G88" s="35">
        <v>0.2</v>
      </c>
      <c r="H88" s="35">
        <v>0.2</v>
      </c>
      <c r="I88" s="35">
        <f t="shared" si="48"/>
        <v>1</v>
      </c>
      <c r="J88" s="35">
        <v>0.2</v>
      </c>
      <c r="K88" s="35">
        <v>0.2</v>
      </c>
      <c r="L88" s="35">
        <f t="shared" si="49"/>
        <v>1</v>
      </c>
      <c r="M88" s="35"/>
      <c r="N88" s="35">
        <v>0.2</v>
      </c>
      <c r="O88" s="107">
        <v>0.2</v>
      </c>
      <c r="P88" s="46">
        <f t="shared" si="50"/>
        <v>1</v>
      </c>
      <c r="Q88" s="46"/>
      <c r="R88" s="46"/>
      <c r="S88" s="35">
        <v>0.2</v>
      </c>
      <c r="T88" s="331">
        <f t="shared" si="51"/>
        <v>1</v>
      </c>
      <c r="U88" s="335">
        <f t="shared" si="52"/>
        <v>0.8</v>
      </c>
      <c r="V88" s="335">
        <f t="shared" si="54"/>
        <v>0.8</v>
      </c>
      <c r="W88" s="335">
        <f t="shared" si="53"/>
        <v>1</v>
      </c>
      <c r="Y88" s="332">
        <f>SUM(D88:D89)</f>
        <v>0.8</v>
      </c>
      <c r="Z88" s="332">
        <f>SUM(E88:E89)</f>
        <v>0.8</v>
      </c>
      <c r="AA88" s="332">
        <f>+Z88/Y88</f>
        <v>1</v>
      </c>
    </row>
    <row r="89" spans="1:34" ht="20.25" customHeight="1" x14ac:dyDescent="0.25">
      <c r="A89" s="42" t="s">
        <v>1998</v>
      </c>
      <c r="B89" s="72" t="s">
        <v>1999</v>
      </c>
      <c r="C89" s="331">
        <v>0.05</v>
      </c>
      <c r="D89" s="35">
        <f>100%*60%</f>
        <v>0.6</v>
      </c>
      <c r="E89" s="35">
        <v>0.6</v>
      </c>
      <c r="F89" s="35">
        <f t="shared" si="47"/>
        <v>1</v>
      </c>
      <c r="G89" s="35">
        <f>100%*40%</f>
        <v>0.4</v>
      </c>
      <c r="H89" s="107">
        <f>40%*90%</f>
        <v>0.36000000000000004</v>
      </c>
      <c r="I89" s="35">
        <f t="shared" si="48"/>
        <v>0.9</v>
      </c>
      <c r="J89" s="35"/>
      <c r="L89" s="35"/>
      <c r="M89" s="107">
        <f>40%*10%</f>
        <v>4.0000000000000008E-2</v>
      </c>
      <c r="N89" s="35"/>
      <c r="O89" s="35"/>
      <c r="P89" s="46"/>
      <c r="Q89" s="46"/>
      <c r="R89" s="46"/>
      <c r="S89" s="35"/>
      <c r="T89" s="331">
        <f t="shared" si="51"/>
        <v>1</v>
      </c>
      <c r="U89" s="335">
        <f t="shared" si="52"/>
        <v>1</v>
      </c>
      <c r="V89" s="335">
        <f t="shared" si="54"/>
        <v>1</v>
      </c>
      <c r="W89" s="335">
        <f t="shared" si="53"/>
        <v>1</v>
      </c>
    </row>
    <row r="90" spans="1:34" x14ac:dyDescent="0.25">
      <c r="A90" s="40"/>
      <c r="B90" s="341" t="s">
        <v>1896</v>
      </c>
      <c r="C90" s="334">
        <f>SUM(C74:C89)</f>
        <v>1.0000000000000002</v>
      </c>
      <c r="D90" s="541"/>
      <c r="E90" s="542"/>
      <c r="F90" s="542"/>
      <c r="G90" s="529"/>
      <c r="H90" s="529"/>
      <c r="I90" s="529"/>
      <c r="J90" s="529"/>
      <c r="K90" s="529"/>
      <c r="L90" s="529"/>
      <c r="M90" s="529"/>
      <c r="N90" s="529"/>
      <c r="O90" s="529"/>
      <c r="P90" s="529"/>
      <c r="Q90" s="529"/>
      <c r="R90" s="529"/>
      <c r="S90" s="529"/>
      <c r="T90" s="530"/>
      <c r="U90" s="348"/>
      <c r="V90" s="335">
        <f>+E90+H90+K90+M90</f>
        <v>0</v>
      </c>
      <c r="W90" s="348"/>
    </row>
    <row r="91" spans="1:34" x14ac:dyDescent="0.25">
      <c r="A91" s="531" t="s">
        <v>1908</v>
      </c>
      <c r="B91" s="532"/>
      <c r="C91" s="343"/>
      <c r="D91" s="331">
        <f t="shared" ref="D91:S91" si="56">+D74*$C$74+D75*$C$75+D76*$C$76+D77*$C$77+D78*$C$78+D79*$C$79+D80*$C$80+D81*$C$81+D82*$C$82+D83*$C$83+D84*$C$84+D85*$C$85+D86*$C$86+D87*$C$87+D88*$C$88+D89*$C$89</f>
        <v>0.3781000000000001</v>
      </c>
      <c r="E91" s="331">
        <f t="shared" si="56"/>
        <v>0.26832800000000001</v>
      </c>
      <c r="F91" s="331">
        <f t="shared" si="56"/>
        <v>0.82359734513274363</v>
      </c>
      <c r="G91" s="331">
        <f t="shared" si="56"/>
        <v>0.17765000000000003</v>
      </c>
      <c r="H91" s="331">
        <f t="shared" si="56"/>
        <v>0.17206200000000005</v>
      </c>
      <c r="I91" s="331">
        <f>+H91/G91</f>
        <v>0.96854489164086699</v>
      </c>
      <c r="J91" s="331">
        <f t="shared" si="56"/>
        <v>0.15225000000000005</v>
      </c>
      <c r="K91" s="331">
        <f>+K74*$C$74+K75*$C$75+K76*$C$76+K77*$C$77+K78*$C$78+K79*$C$79+K80*$C$80+K81*$C$81+K82*$C$82+K83*$C$83+K84*$C$84+K85*$C$85+K86*$C$86+K87*$C$87+K88*$C$88+M89*$C$89</f>
        <v>0.12061150000000004</v>
      </c>
      <c r="L91" s="331">
        <f>+K91/J91</f>
        <v>0.79219376026272581</v>
      </c>
      <c r="M91" s="331">
        <f>+M74*$C$74+M75*$C$75+M76*$C$76+M77*$C$77+M78*$C$78+M79*$C$79+M80*$C$80+M81*$C$81+M82*$C$82+M83*$C$83+M84*$C$84+M85*$C$85+M86*$C$86+M87*$C$87+M88*$C$88+S89*$C$89</f>
        <v>1.8E-3</v>
      </c>
      <c r="N91" s="331">
        <f t="shared" si="56"/>
        <v>0.14225000000000004</v>
      </c>
      <c r="O91" s="331">
        <f t="shared" si="56"/>
        <v>0.14177500000000004</v>
      </c>
      <c r="P91" s="331">
        <f>+O91/N91</f>
        <v>0.99666080843585236</v>
      </c>
      <c r="Q91" s="331">
        <f t="shared" si="56"/>
        <v>2.7000000000000003E-2</v>
      </c>
      <c r="R91" s="331">
        <f t="shared" si="56"/>
        <v>2.5162500000000004E-2</v>
      </c>
      <c r="S91" s="331">
        <f t="shared" si="56"/>
        <v>0.14975000000000005</v>
      </c>
      <c r="T91" s="331">
        <f>+D91+G91+J91+N91+S91</f>
        <v>1.0000000000000002</v>
      </c>
      <c r="U91" s="335">
        <f>+D91+G91+J91</f>
        <v>0.70800000000000018</v>
      </c>
      <c r="V91" s="335">
        <f>+E91+H91+K91+M91</f>
        <v>0.56280150000000018</v>
      </c>
      <c r="W91" s="335">
        <f t="shared" ref="W91" si="57">+V91/U91</f>
        <v>0.794917372881356</v>
      </c>
    </row>
    <row r="92" spans="1:34" x14ac:dyDescent="0.25">
      <c r="H92" s="137"/>
    </row>
    <row r="93" spans="1:34" x14ac:dyDescent="0.25">
      <c r="H93" s="137"/>
    </row>
    <row r="94" spans="1:34" ht="18.75" x14ac:dyDescent="0.3">
      <c r="A94" s="535" t="s">
        <v>1884</v>
      </c>
      <c r="B94" s="535"/>
      <c r="C94" s="535"/>
      <c r="D94" s="535"/>
      <c r="E94" s="535"/>
      <c r="F94" s="535"/>
      <c r="G94" s="535"/>
      <c r="H94" s="535"/>
      <c r="I94" s="535"/>
      <c r="J94" s="535"/>
      <c r="K94" s="535"/>
      <c r="L94" s="535"/>
      <c r="M94" s="535"/>
      <c r="N94" s="535"/>
      <c r="O94" s="535"/>
      <c r="P94" s="535"/>
      <c r="Q94" s="535"/>
      <c r="R94" s="535"/>
      <c r="S94" s="535"/>
      <c r="T94" s="535"/>
      <c r="U94" s="324"/>
      <c r="V94" s="324"/>
      <c r="W94" s="324"/>
    </row>
    <row r="95" spans="1:34" ht="18.75" x14ac:dyDescent="0.3">
      <c r="A95" s="535" t="s">
        <v>1885</v>
      </c>
      <c r="B95" s="535"/>
      <c r="C95" s="535"/>
      <c r="D95" s="535"/>
      <c r="E95" s="535"/>
      <c r="F95" s="535"/>
      <c r="G95" s="535"/>
      <c r="H95" s="535"/>
      <c r="I95" s="535"/>
      <c r="J95" s="535"/>
      <c r="K95" s="535"/>
      <c r="L95" s="535"/>
      <c r="M95" s="535"/>
      <c r="N95" s="535"/>
      <c r="O95" s="535"/>
      <c r="P95" s="535"/>
      <c r="Q95" s="535"/>
      <c r="R95" s="535"/>
      <c r="S95" s="535"/>
      <c r="T95" s="535"/>
      <c r="U95" s="324"/>
      <c r="V95" s="324"/>
      <c r="W95" s="324"/>
    </row>
    <row r="96" spans="1:34" ht="18.75" x14ac:dyDescent="0.3">
      <c r="A96" s="535" t="s">
        <v>2000</v>
      </c>
      <c r="B96" s="535"/>
      <c r="C96" s="535"/>
      <c r="D96" s="535"/>
      <c r="E96" s="535"/>
      <c r="F96" s="535"/>
      <c r="G96" s="535"/>
      <c r="H96" s="535"/>
      <c r="I96" s="535"/>
      <c r="J96" s="535"/>
      <c r="K96" s="535"/>
      <c r="L96" s="535"/>
      <c r="M96" s="535"/>
      <c r="N96" s="535"/>
      <c r="O96" s="535"/>
      <c r="P96" s="535"/>
      <c r="Q96" s="535"/>
      <c r="R96" s="535"/>
      <c r="S96" s="535"/>
      <c r="T96" s="535"/>
      <c r="U96" s="324"/>
      <c r="V96" s="324"/>
      <c r="W96" s="324"/>
    </row>
    <row r="97" spans="1:24" ht="18.75" x14ac:dyDescent="0.3">
      <c r="A97" s="535" t="s">
        <v>2224</v>
      </c>
      <c r="B97" s="535"/>
      <c r="C97" s="535"/>
      <c r="D97" s="535"/>
      <c r="E97" s="535"/>
      <c r="F97" s="535"/>
      <c r="G97" s="535"/>
      <c r="H97" s="535"/>
      <c r="I97" s="535"/>
      <c r="J97" s="535"/>
      <c r="K97" s="535"/>
      <c r="L97" s="535"/>
      <c r="M97" s="535"/>
      <c r="N97" s="535"/>
      <c r="O97" s="535"/>
      <c r="P97" s="535"/>
      <c r="Q97" s="535"/>
      <c r="R97" s="535"/>
      <c r="S97" s="535"/>
      <c r="T97" s="535"/>
      <c r="U97" s="324"/>
      <c r="V97" s="324"/>
      <c r="W97" s="324"/>
    </row>
    <row r="98" spans="1:24" x14ac:dyDescent="0.25">
      <c r="B98" s="325"/>
      <c r="H98" s="137"/>
    </row>
    <row r="99" spans="1:24" x14ac:dyDescent="0.25">
      <c r="A99" s="537" t="s">
        <v>1910</v>
      </c>
      <c r="B99" s="537" t="s">
        <v>1911</v>
      </c>
      <c r="C99" s="537" t="s">
        <v>1888</v>
      </c>
      <c r="D99" s="531" t="s">
        <v>1912</v>
      </c>
      <c r="E99" s="539"/>
      <c r="F99" s="539"/>
      <c r="G99" s="539"/>
      <c r="H99" s="539"/>
      <c r="I99" s="539"/>
      <c r="J99" s="539"/>
      <c r="K99" s="539"/>
      <c r="L99" s="539"/>
      <c r="M99" s="539"/>
      <c r="N99" s="539"/>
      <c r="O99" s="539"/>
      <c r="P99" s="539"/>
      <c r="Q99" s="539"/>
      <c r="R99" s="539"/>
      <c r="S99" s="539"/>
      <c r="T99" s="532"/>
      <c r="U99" s="534" t="s">
        <v>1890</v>
      </c>
      <c r="V99" s="534"/>
      <c r="W99" s="534"/>
    </row>
    <row r="100" spans="1:24" ht="45" x14ac:dyDescent="0.25">
      <c r="A100" s="538" t="s">
        <v>1910</v>
      </c>
      <c r="B100" s="538"/>
      <c r="C100" s="538" t="s">
        <v>1888</v>
      </c>
      <c r="D100" s="326">
        <v>2012</v>
      </c>
      <c r="E100" s="326" t="s">
        <v>1891</v>
      </c>
      <c r="F100" s="326" t="s">
        <v>1892</v>
      </c>
      <c r="G100" s="326">
        <v>2013</v>
      </c>
      <c r="H100" s="326" t="s">
        <v>1891</v>
      </c>
      <c r="I100" s="326" t="s">
        <v>1892</v>
      </c>
      <c r="J100" s="326">
        <v>2014</v>
      </c>
      <c r="K100" s="326" t="s">
        <v>1891</v>
      </c>
      <c r="L100" s="326" t="s">
        <v>1892</v>
      </c>
      <c r="M100" s="327" t="s">
        <v>2001</v>
      </c>
      <c r="N100" s="326">
        <v>2015</v>
      </c>
      <c r="O100" s="326" t="s">
        <v>1891</v>
      </c>
      <c r="P100" s="326" t="s">
        <v>1892</v>
      </c>
      <c r="Q100" s="327" t="s">
        <v>1894</v>
      </c>
      <c r="R100" s="327" t="s">
        <v>1895</v>
      </c>
      <c r="S100" s="326">
        <v>2016</v>
      </c>
      <c r="T100" s="326" t="s">
        <v>1896</v>
      </c>
      <c r="U100" s="328" t="s">
        <v>1897</v>
      </c>
      <c r="V100" s="328" t="s">
        <v>1898</v>
      </c>
      <c r="W100" s="328" t="s">
        <v>1899</v>
      </c>
    </row>
    <row r="101" spans="1:24" ht="30" hidden="1" x14ac:dyDescent="0.25">
      <c r="A101" s="42" t="s">
        <v>2002</v>
      </c>
      <c r="B101" s="36" t="s">
        <v>2003</v>
      </c>
      <c r="C101" s="334">
        <v>0.04</v>
      </c>
      <c r="D101" s="35">
        <v>0.5</v>
      </c>
      <c r="E101" s="35">
        <v>0</v>
      </c>
      <c r="F101" s="35">
        <f t="shared" ref="F101:F139" si="58">+E101/D101</f>
        <v>0</v>
      </c>
      <c r="G101" s="35">
        <v>0.5</v>
      </c>
      <c r="H101" s="107">
        <v>0.5</v>
      </c>
      <c r="I101" s="35">
        <f t="shared" ref="I101:I137" si="59">+H101/G101</f>
        <v>1</v>
      </c>
      <c r="J101" s="35"/>
      <c r="L101" s="35"/>
      <c r="M101" s="35">
        <v>0.1</v>
      </c>
      <c r="N101" s="35"/>
      <c r="O101" s="35"/>
      <c r="P101" s="35"/>
      <c r="Q101" s="35"/>
      <c r="R101" s="35"/>
      <c r="S101" s="35"/>
      <c r="T101" s="331">
        <f t="shared" ref="T101:T137" si="60">+D101+G101+J101+N101+S101</f>
        <v>1</v>
      </c>
      <c r="U101" s="335">
        <f>+D101+G101+J101</f>
        <v>1</v>
      </c>
      <c r="V101" s="335">
        <f>+E101+H101+K101+M101</f>
        <v>0.6</v>
      </c>
      <c r="W101" s="335">
        <f t="shared" ref="W101:W137" si="61">+V101/U101</f>
        <v>0.6</v>
      </c>
      <c r="X101" s="325" t="s">
        <v>2004</v>
      </c>
    </row>
    <row r="102" spans="1:24" ht="30" x14ac:dyDescent="0.25">
      <c r="A102" s="42" t="s">
        <v>2005</v>
      </c>
      <c r="B102" s="36" t="s">
        <v>2006</v>
      </c>
      <c r="C102" s="334">
        <v>0.04</v>
      </c>
      <c r="D102" s="35">
        <v>0.2</v>
      </c>
      <c r="E102" s="35">
        <v>0.2</v>
      </c>
      <c r="F102" s="35">
        <f t="shared" si="58"/>
        <v>1</v>
      </c>
      <c r="G102" s="35">
        <v>0.2</v>
      </c>
      <c r="H102" s="35">
        <v>0.2</v>
      </c>
      <c r="I102" s="35">
        <f t="shared" si="59"/>
        <v>1</v>
      </c>
      <c r="J102" s="35">
        <v>0.2</v>
      </c>
      <c r="K102" s="35">
        <v>0.2</v>
      </c>
      <c r="L102" s="35">
        <f t="shared" ref="L102:L137" si="62">+K102/J102</f>
        <v>1</v>
      </c>
      <c r="M102" s="35"/>
      <c r="N102" s="35">
        <v>0.2</v>
      </c>
      <c r="O102" s="35">
        <v>0.2</v>
      </c>
      <c r="P102" s="46">
        <f t="shared" ref="P102:P137" si="63">+O102/N102</f>
        <v>1</v>
      </c>
      <c r="Q102" s="46"/>
      <c r="R102" s="46"/>
      <c r="S102" s="35">
        <v>0.2</v>
      </c>
      <c r="T102" s="331">
        <f t="shared" si="60"/>
        <v>1</v>
      </c>
      <c r="U102" s="335">
        <f t="shared" ref="U102:U137" si="64">+D102+G102+J102+N102</f>
        <v>0.8</v>
      </c>
      <c r="V102" s="335">
        <f t="shared" ref="V102:V137" si="65">+E102+H102+K102+M102+O102+Q102+R102</f>
        <v>0.8</v>
      </c>
      <c r="W102" s="335">
        <f t="shared" si="61"/>
        <v>1</v>
      </c>
    </row>
    <row r="103" spans="1:24" ht="30" x14ac:dyDescent="0.25">
      <c r="A103" s="42" t="s">
        <v>2007</v>
      </c>
      <c r="B103" s="36" t="s">
        <v>2008</v>
      </c>
      <c r="C103" s="334">
        <v>0.04</v>
      </c>
      <c r="D103" s="35">
        <v>0.33</v>
      </c>
      <c r="E103" s="35">
        <v>0.33</v>
      </c>
      <c r="F103" s="35">
        <f t="shared" si="58"/>
        <v>1</v>
      </c>
      <c r="G103" s="35"/>
      <c r="H103" s="107"/>
      <c r="I103" s="35"/>
      <c r="J103" s="35">
        <v>0.33</v>
      </c>
      <c r="K103" s="35">
        <v>0.33</v>
      </c>
      <c r="L103" s="35">
        <f t="shared" si="62"/>
        <v>1</v>
      </c>
      <c r="M103" s="35"/>
      <c r="N103" s="35"/>
      <c r="O103" s="35"/>
      <c r="P103" s="46"/>
      <c r="Q103" s="46"/>
      <c r="R103" s="46"/>
      <c r="S103" s="35">
        <v>0.34</v>
      </c>
      <c r="T103" s="331">
        <f t="shared" si="60"/>
        <v>1</v>
      </c>
      <c r="U103" s="335">
        <f t="shared" si="64"/>
        <v>0.66</v>
      </c>
      <c r="V103" s="335">
        <f t="shared" si="65"/>
        <v>0.66</v>
      </c>
      <c r="W103" s="335">
        <f t="shared" si="61"/>
        <v>1</v>
      </c>
    </row>
    <row r="104" spans="1:24" ht="30" x14ac:dyDescent="0.25">
      <c r="A104" s="42" t="s">
        <v>2009</v>
      </c>
      <c r="B104" s="36" t="s">
        <v>2010</v>
      </c>
      <c r="C104" s="334">
        <v>0.04</v>
      </c>
      <c r="D104" s="35">
        <v>0.2</v>
      </c>
      <c r="E104" s="35">
        <v>0.2</v>
      </c>
      <c r="F104" s="35">
        <f t="shared" si="58"/>
        <v>1</v>
      </c>
      <c r="G104" s="35">
        <v>0.2</v>
      </c>
      <c r="H104" s="35">
        <v>0.2</v>
      </c>
      <c r="I104" s="35">
        <f t="shared" si="59"/>
        <v>1</v>
      </c>
      <c r="J104" s="35">
        <v>0.2</v>
      </c>
      <c r="K104" s="35">
        <v>0.2</v>
      </c>
      <c r="L104" s="35">
        <f t="shared" si="62"/>
        <v>1</v>
      </c>
      <c r="M104" s="35"/>
      <c r="N104" s="35">
        <v>0.2</v>
      </c>
      <c r="O104" s="35">
        <v>0.2</v>
      </c>
      <c r="P104" s="46">
        <f t="shared" si="63"/>
        <v>1</v>
      </c>
      <c r="Q104" s="46"/>
      <c r="R104" s="46"/>
      <c r="S104" s="35">
        <v>0.2</v>
      </c>
      <c r="T104" s="331">
        <f t="shared" si="60"/>
        <v>1</v>
      </c>
      <c r="U104" s="335">
        <f t="shared" si="64"/>
        <v>0.8</v>
      </c>
      <c r="V104" s="335">
        <f t="shared" si="65"/>
        <v>0.8</v>
      </c>
      <c r="W104" s="335">
        <f t="shared" si="61"/>
        <v>1</v>
      </c>
    </row>
    <row r="105" spans="1:24" ht="30" x14ac:dyDescent="0.25">
      <c r="A105" s="42" t="s">
        <v>2011</v>
      </c>
      <c r="B105" s="36" t="s">
        <v>2012</v>
      </c>
      <c r="C105" s="334">
        <v>0.02</v>
      </c>
      <c r="D105" s="35">
        <v>0.33</v>
      </c>
      <c r="E105" s="35">
        <f>33%*95%</f>
        <v>0.3135</v>
      </c>
      <c r="F105" s="35">
        <f t="shared" si="58"/>
        <v>0.95</v>
      </c>
      <c r="G105" s="35"/>
      <c r="H105" s="107">
        <v>0.02</v>
      </c>
      <c r="I105" s="35">
        <v>1</v>
      </c>
      <c r="J105" s="35">
        <v>0.33</v>
      </c>
      <c r="K105" s="35">
        <v>0.33</v>
      </c>
      <c r="L105" s="35">
        <v>1</v>
      </c>
      <c r="M105" s="35"/>
      <c r="N105" s="35"/>
      <c r="O105" s="35"/>
      <c r="P105" s="46"/>
      <c r="Q105" s="46"/>
      <c r="R105" s="46"/>
      <c r="S105" s="35">
        <v>0.34</v>
      </c>
      <c r="T105" s="331">
        <f t="shared" si="60"/>
        <v>1</v>
      </c>
      <c r="U105" s="335">
        <f t="shared" si="64"/>
        <v>0.66</v>
      </c>
      <c r="V105" s="335">
        <f t="shared" si="65"/>
        <v>0.66349999999999998</v>
      </c>
      <c r="W105" s="335">
        <f t="shared" si="61"/>
        <v>1.0053030303030301</v>
      </c>
    </row>
    <row r="106" spans="1:24" ht="45" hidden="1" x14ac:dyDescent="0.25">
      <c r="A106" s="42" t="s">
        <v>2013</v>
      </c>
      <c r="B106" s="36" t="s">
        <v>2014</v>
      </c>
      <c r="C106" s="334">
        <v>0.02</v>
      </c>
      <c r="D106" s="35">
        <v>1</v>
      </c>
      <c r="E106" s="35">
        <v>1</v>
      </c>
      <c r="F106" s="35">
        <f t="shared" si="58"/>
        <v>1</v>
      </c>
      <c r="G106" s="35"/>
      <c r="H106" s="107"/>
      <c r="I106" s="35"/>
      <c r="J106" s="35"/>
      <c r="K106" s="35"/>
      <c r="L106" s="35"/>
      <c r="M106" s="35"/>
      <c r="N106" s="35"/>
      <c r="O106" s="35"/>
      <c r="P106" s="46" t="e">
        <f t="shared" si="63"/>
        <v>#DIV/0!</v>
      </c>
      <c r="Q106" s="46"/>
      <c r="R106" s="46"/>
      <c r="S106" s="35"/>
      <c r="T106" s="331">
        <f t="shared" si="60"/>
        <v>1</v>
      </c>
      <c r="U106" s="335">
        <f t="shared" si="64"/>
        <v>1</v>
      </c>
      <c r="V106" s="335">
        <f t="shared" si="65"/>
        <v>1</v>
      </c>
      <c r="W106" s="335">
        <f t="shared" si="61"/>
        <v>1</v>
      </c>
    </row>
    <row r="107" spans="1:24" ht="30" x14ac:dyDescent="0.25">
      <c r="A107" s="42" t="s">
        <v>2015</v>
      </c>
      <c r="B107" s="36" t="s">
        <v>2016</v>
      </c>
      <c r="C107" s="334">
        <v>0.02</v>
      </c>
      <c r="D107" s="35">
        <f>20%*70%</f>
        <v>0.13999999999999999</v>
      </c>
      <c r="E107" s="35">
        <v>0.14000000000000001</v>
      </c>
      <c r="F107" s="35">
        <f t="shared" si="58"/>
        <v>1.0000000000000002</v>
      </c>
      <c r="G107" s="35">
        <f>20%*70%</f>
        <v>0.13999999999999999</v>
      </c>
      <c r="H107" s="107">
        <v>0.14000000000000001</v>
      </c>
      <c r="I107" s="35">
        <f t="shared" si="59"/>
        <v>1.0000000000000002</v>
      </c>
      <c r="J107" s="35">
        <f>100%*30%+20%*70%</f>
        <v>0.43999999999999995</v>
      </c>
      <c r="K107" s="35">
        <f>100%*30%+20%*70%</f>
        <v>0.43999999999999995</v>
      </c>
      <c r="L107" s="35">
        <f t="shared" si="62"/>
        <v>1</v>
      </c>
      <c r="M107" s="35"/>
      <c r="N107" s="35">
        <f>20%*70%</f>
        <v>0.13999999999999999</v>
      </c>
      <c r="O107" s="35">
        <v>0.14000000000000001</v>
      </c>
      <c r="P107" s="46">
        <f t="shared" si="63"/>
        <v>1.0000000000000002</v>
      </c>
      <c r="Q107" s="46"/>
      <c r="R107" s="46"/>
      <c r="S107" s="35">
        <f>20%*70%</f>
        <v>0.13999999999999999</v>
      </c>
      <c r="T107" s="331">
        <f t="shared" si="60"/>
        <v>1</v>
      </c>
      <c r="U107" s="335">
        <f t="shared" si="64"/>
        <v>0.86</v>
      </c>
      <c r="V107" s="335">
        <f t="shared" si="65"/>
        <v>0.86</v>
      </c>
      <c r="W107" s="335">
        <f t="shared" si="61"/>
        <v>1</v>
      </c>
    </row>
    <row r="108" spans="1:24" ht="30" hidden="1" x14ac:dyDescent="0.25">
      <c r="A108" s="42" t="s">
        <v>2017</v>
      </c>
      <c r="B108" s="36" t="s">
        <v>2018</v>
      </c>
      <c r="C108" s="334">
        <v>0.02</v>
      </c>
      <c r="D108" s="35"/>
      <c r="E108" s="35">
        <v>0.43</v>
      </c>
      <c r="F108" s="35">
        <v>0.43</v>
      </c>
      <c r="G108" s="35"/>
      <c r="H108" s="107">
        <v>0.56999999999999995</v>
      </c>
      <c r="I108" s="35">
        <v>1</v>
      </c>
      <c r="J108" s="35">
        <v>1</v>
      </c>
      <c r="K108" s="35"/>
      <c r="L108" s="35"/>
      <c r="M108" s="35"/>
      <c r="N108" s="35"/>
      <c r="O108" s="35"/>
      <c r="P108" s="46" t="e">
        <f t="shared" si="63"/>
        <v>#DIV/0!</v>
      </c>
      <c r="Q108" s="46"/>
      <c r="R108" s="46"/>
      <c r="S108" s="35"/>
      <c r="T108" s="331">
        <f t="shared" si="60"/>
        <v>1</v>
      </c>
      <c r="U108" s="335">
        <f t="shared" si="64"/>
        <v>1</v>
      </c>
      <c r="V108" s="335">
        <f t="shared" si="65"/>
        <v>1</v>
      </c>
      <c r="W108" s="335">
        <f t="shared" si="61"/>
        <v>1</v>
      </c>
    </row>
    <row r="109" spans="1:24" x14ac:dyDescent="0.25">
      <c r="A109" s="42" t="s">
        <v>2019</v>
      </c>
      <c r="B109" s="36" t="s">
        <v>2020</v>
      </c>
      <c r="C109" s="334">
        <v>0.02</v>
      </c>
      <c r="D109" s="35">
        <v>0.2</v>
      </c>
      <c r="E109" s="35">
        <v>0.2</v>
      </c>
      <c r="F109" s="35">
        <f t="shared" si="58"/>
        <v>1</v>
      </c>
      <c r="G109" s="35">
        <v>0.2</v>
      </c>
      <c r="H109" s="35">
        <v>0.2</v>
      </c>
      <c r="I109" s="35">
        <f t="shared" si="59"/>
        <v>1</v>
      </c>
      <c r="J109" s="35">
        <v>0.2</v>
      </c>
      <c r="K109" s="35">
        <v>0.2</v>
      </c>
      <c r="L109" s="35">
        <f t="shared" si="62"/>
        <v>1</v>
      </c>
      <c r="M109" s="35"/>
      <c r="N109" s="35">
        <v>0.2</v>
      </c>
      <c r="O109" s="35">
        <v>0.2</v>
      </c>
      <c r="P109" s="46">
        <f t="shared" si="63"/>
        <v>1</v>
      </c>
      <c r="Q109" s="46"/>
      <c r="R109" s="46"/>
      <c r="S109" s="35">
        <v>0.2</v>
      </c>
      <c r="T109" s="331">
        <f t="shared" si="60"/>
        <v>1</v>
      </c>
      <c r="U109" s="335">
        <f t="shared" si="64"/>
        <v>0.8</v>
      </c>
      <c r="V109" s="335">
        <f t="shared" si="65"/>
        <v>0.8</v>
      </c>
      <c r="W109" s="335">
        <f t="shared" si="61"/>
        <v>1</v>
      </c>
    </row>
    <row r="110" spans="1:24" x14ac:dyDescent="0.25">
      <c r="A110" s="42" t="s">
        <v>2021</v>
      </c>
      <c r="B110" s="349" t="s">
        <v>2022</v>
      </c>
      <c r="C110" s="334">
        <v>0.04</v>
      </c>
      <c r="D110" s="35">
        <v>0</v>
      </c>
      <c r="E110" s="35">
        <v>0</v>
      </c>
      <c r="F110" s="35">
        <v>0</v>
      </c>
      <c r="G110" s="35">
        <v>0.25</v>
      </c>
      <c r="H110" s="107">
        <v>0</v>
      </c>
      <c r="I110" s="35">
        <f t="shared" si="59"/>
        <v>0</v>
      </c>
      <c r="J110" s="35">
        <v>0.25</v>
      </c>
      <c r="K110" s="35">
        <f>25%*0.25</f>
        <v>6.25E-2</v>
      </c>
      <c r="L110" s="35">
        <f t="shared" si="62"/>
        <v>0.25</v>
      </c>
      <c r="M110" s="35"/>
      <c r="N110" s="35">
        <v>0.25</v>
      </c>
      <c r="O110" s="35">
        <v>0.25</v>
      </c>
      <c r="P110" s="46">
        <f t="shared" si="63"/>
        <v>1</v>
      </c>
      <c r="Q110" s="46"/>
      <c r="R110" s="46">
        <v>0.69</v>
      </c>
      <c r="S110" s="35">
        <v>0.25</v>
      </c>
      <c r="T110" s="331">
        <f t="shared" si="60"/>
        <v>1</v>
      </c>
      <c r="U110" s="335">
        <f t="shared" si="64"/>
        <v>0.75</v>
      </c>
      <c r="V110" s="335">
        <f t="shared" si="65"/>
        <v>1.0024999999999999</v>
      </c>
      <c r="W110" s="335">
        <f t="shared" si="61"/>
        <v>1.3366666666666667</v>
      </c>
    </row>
    <row r="111" spans="1:24" ht="30" hidden="1" x14ac:dyDescent="0.25">
      <c r="A111" s="42" t="s">
        <v>2023</v>
      </c>
      <c r="B111" s="189" t="s">
        <v>2024</v>
      </c>
      <c r="C111" s="334">
        <v>0.04</v>
      </c>
      <c r="D111" s="35">
        <v>0.33</v>
      </c>
      <c r="E111" s="35">
        <v>0.33</v>
      </c>
      <c r="F111" s="35">
        <f t="shared" si="58"/>
        <v>1</v>
      </c>
      <c r="G111" s="35">
        <v>0.33</v>
      </c>
      <c r="H111" s="107">
        <v>0</v>
      </c>
      <c r="I111" s="35">
        <f t="shared" si="59"/>
        <v>0</v>
      </c>
      <c r="J111" s="35">
        <v>0.34</v>
      </c>
      <c r="K111" s="35">
        <f>34%*100%</f>
        <v>0.34</v>
      </c>
      <c r="L111" s="35">
        <f t="shared" si="62"/>
        <v>1</v>
      </c>
      <c r="M111" s="35">
        <f>34%*90%</f>
        <v>0.30600000000000005</v>
      </c>
      <c r="N111" s="35"/>
      <c r="O111" s="35"/>
      <c r="P111" s="46"/>
      <c r="Q111" s="46"/>
      <c r="R111" s="46"/>
      <c r="S111" s="35"/>
      <c r="T111" s="331">
        <f t="shared" si="60"/>
        <v>1</v>
      </c>
      <c r="U111" s="335">
        <f t="shared" si="64"/>
        <v>1</v>
      </c>
      <c r="V111" s="335">
        <f t="shared" si="65"/>
        <v>0.97600000000000009</v>
      </c>
      <c r="W111" s="335">
        <f t="shared" si="61"/>
        <v>0.97600000000000009</v>
      </c>
      <c r="X111" s="325" t="s">
        <v>2025</v>
      </c>
    </row>
    <row r="112" spans="1:24" ht="30" hidden="1" x14ac:dyDescent="0.25">
      <c r="A112" s="42" t="s">
        <v>2026</v>
      </c>
      <c r="B112" s="349" t="s">
        <v>2027</v>
      </c>
      <c r="C112" s="334">
        <v>0.04</v>
      </c>
      <c r="D112" s="107">
        <f>100%*33%+100%*34%</f>
        <v>0.67</v>
      </c>
      <c r="E112" s="107">
        <f>100%*33%+94%*34%</f>
        <v>0.64959999999999996</v>
      </c>
      <c r="F112" s="35">
        <f t="shared" si="58"/>
        <v>0.96955223880597008</v>
      </c>
      <c r="G112" s="107">
        <v>0.33</v>
      </c>
      <c r="H112" s="107">
        <v>0</v>
      </c>
      <c r="I112" s="35">
        <f t="shared" si="59"/>
        <v>0</v>
      </c>
      <c r="J112" s="107"/>
      <c r="K112" s="107"/>
      <c r="L112" s="35"/>
      <c r="M112" s="35"/>
      <c r="N112" s="107"/>
      <c r="O112" s="107"/>
      <c r="P112" s="46" t="e">
        <f t="shared" si="63"/>
        <v>#DIV/0!</v>
      </c>
      <c r="Q112" s="46"/>
      <c r="R112" s="46"/>
      <c r="S112" s="107"/>
      <c r="T112" s="331">
        <f t="shared" si="60"/>
        <v>1</v>
      </c>
      <c r="U112" s="335">
        <f t="shared" si="64"/>
        <v>1</v>
      </c>
      <c r="V112" s="335">
        <f t="shared" si="65"/>
        <v>0.64959999999999996</v>
      </c>
      <c r="W112" s="335">
        <f t="shared" si="61"/>
        <v>0.64959999999999996</v>
      </c>
      <c r="X112" s="325" t="s">
        <v>2028</v>
      </c>
    </row>
    <row r="113" spans="1:24" x14ac:dyDescent="0.25">
      <c r="A113" s="42" t="s">
        <v>2029</v>
      </c>
      <c r="B113" s="349" t="s">
        <v>2030</v>
      </c>
      <c r="C113" s="334">
        <v>0.03</v>
      </c>
      <c r="D113" s="35">
        <v>0.25</v>
      </c>
      <c r="E113" s="35">
        <v>0.25</v>
      </c>
      <c r="F113" s="35">
        <f t="shared" si="58"/>
        <v>1</v>
      </c>
      <c r="G113" s="35">
        <f>25%*75%</f>
        <v>0.1875</v>
      </c>
      <c r="H113" s="35">
        <f>25%*75%</f>
        <v>0.1875</v>
      </c>
      <c r="I113" s="35">
        <f t="shared" si="59"/>
        <v>1</v>
      </c>
      <c r="J113" s="35">
        <f>25%*75%</f>
        <v>0.1875</v>
      </c>
      <c r="K113" s="35">
        <f>25%*75%</f>
        <v>0.1875</v>
      </c>
      <c r="L113" s="35">
        <f t="shared" si="62"/>
        <v>1</v>
      </c>
      <c r="M113" s="35"/>
      <c r="N113" s="35">
        <f>25%*75%</f>
        <v>0.1875</v>
      </c>
      <c r="O113" s="35">
        <v>0.19</v>
      </c>
      <c r="P113" s="46">
        <f t="shared" si="63"/>
        <v>1.0133333333333334</v>
      </c>
      <c r="Q113" s="46"/>
      <c r="R113" s="46"/>
      <c r="S113" s="35">
        <f>25%*75%</f>
        <v>0.1875</v>
      </c>
      <c r="T113" s="331">
        <f t="shared" si="60"/>
        <v>1</v>
      </c>
      <c r="U113" s="335">
        <f t="shared" si="64"/>
        <v>0.8125</v>
      </c>
      <c r="V113" s="335">
        <f t="shared" si="65"/>
        <v>0.81499999999999995</v>
      </c>
      <c r="W113" s="335">
        <f t="shared" si="61"/>
        <v>1.003076923076923</v>
      </c>
    </row>
    <row r="114" spans="1:24" ht="30" hidden="1" x14ac:dyDescent="0.25">
      <c r="A114" s="42" t="s">
        <v>2031</v>
      </c>
      <c r="B114" s="349" t="s">
        <v>2032</v>
      </c>
      <c r="C114" s="334">
        <v>0.03</v>
      </c>
      <c r="D114" s="35">
        <f>100%*30%</f>
        <v>0.3</v>
      </c>
      <c r="E114" s="35">
        <v>0.3</v>
      </c>
      <c r="F114" s="35">
        <f t="shared" si="58"/>
        <v>1</v>
      </c>
      <c r="G114" s="35">
        <f>50%*70%</f>
        <v>0.35</v>
      </c>
      <c r="H114" s="35">
        <f>50%*70%</f>
        <v>0.35</v>
      </c>
      <c r="I114" s="35">
        <f t="shared" si="59"/>
        <v>1</v>
      </c>
      <c r="J114" s="35">
        <f>50%*70%</f>
        <v>0.35</v>
      </c>
      <c r="K114" s="35">
        <f>50%*70%</f>
        <v>0.35</v>
      </c>
      <c r="L114" s="35">
        <f t="shared" si="62"/>
        <v>1</v>
      </c>
      <c r="M114" s="35"/>
      <c r="N114" s="35"/>
      <c r="O114" s="35"/>
      <c r="P114" s="46"/>
      <c r="Q114" s="46"/>
      <c r="R114" s="46"/>
      <c r="S114" s="35"/>
      <c r="T114" s="331">
        <f t="shared" si="60"/>
        <v>0.99999999999999989</v>
      </c>
      <c r="U114" s="335">
        <f t="shared" si="64"/>
        <v>0.99999999999999989</v>
      </c>
      <c r="V114" s="335">
        <f t="shared" si="65"/>
        <v>0.99999999999999989</v>
      </c>
      <c r="W114" s="335">
        <f t="shared" si="61"/>
        <v>1</v>
      </c>
    </row>
    <row r="115" spans="1:24" x14ac:dyDescent="0.25">
      <c r="A115" s="42" t="s">
        <v>2033</v>
      </c>
      <c r="B115" s="349" t="s">
        <v>2034</v>
      </c>
      <c r="C115" s="334">
        <v>0.04</v>
      </c>
      <c r="D115" s="35">
        <v>0.2</v>
      </c>
      <c r="E115" s="35">
        <v>0.2</v>
      </c>
      <c r="F115" s="35">
        <f t="shared" si="58"/>
        <v>1</v>
      </c>
      <c r="G115" s="35">
        <v>0.2</v>
      </c>
      <c r="H115" s="35">
        <v>0.2</v>
      </c>
      <c r="I115" s="35">
        <f t="shared" si="59"/>
        <v>1</v>
      </c>
      <c r="J115" s="35">
        <v>0.2</v>
      </c>
      <c r="K115" s="35">
        <v>0.2</v>
      </c>
      <c r="L115" s="35">
        <f t="shared" si="62"/>
        <v>1</v>
      </c>
      <c r="M115" s="35"/>
      <c r="N115" s="35">
        <v>0.2</v>
      </c>
      <c r="O115" s="35">
        <v>0.2</v>
      </c>
      <c r="P115" s="46">
        <f t="shared" si="63"/>
        <v>1</v>
      </c>
      <c r="Q115" s="46"/>
      <c r="R115" s="46"/>
      <c r="S115" s="35">
        <v>0.2</v>
      </c>
      <c r="T115" s="331">
        <f t="shared" si="60"/>
        <v>1</v>
      </c>
      <c r="U115" s="335">
        <f t="shared" si="64"/>
        <v>0.8</v>
      </c>
      <c r="V115" s="335">
        <f t="shared" si="65"/>
        <v>0.8</v>
      </c>
      <c r="W115" s="335">
        <f t="shared" si="61"/>
        <v>1</v>
      </c>
    </row>
    <row r="116" spans="1:24" ht="30" x14ac:dyDescent="0.25">
      <c r="A116" s="42" t="s">
        <v>2035</v>
      </c>
      <c r="B116" s="349" t="s">
        <v>2036</v>
      </c>
      <c r="C116" s="334">
        <v>0.03</v>
      </c>
      <c r="D116" s="35">
        <v>0.2</v>
      </c>
      <c r="E116" s="35">
        <v>0.2</v>
      </c>
      <c r="F116" s="35">
        <f t="shared" si="58"/>
        <v>1</v>
      </c>
      <c r="G116" s="35">
        <v>0.2</v>
      </c>
      <c r="H116" s="35">
        <v>0.2</v>
      </c>
      <c r="I116" s="35">
        <f t="shared" si="59"/>
        <v>1</v>
      </c>
      <c r="J116" s="35">
        <v>0.2</v>
      </c>
      <c r="K116" s="35">
        <v>0.2</v>
      </c>
      <c r="L116" s="35">
        <f t="shared" si="62"/>
        <v>1</v>
      </c>
      <c r="M116" s="35"/>
      <c r="N116" s="35">
        <v>0.2</v>
      </c>
      <c r="O116" s="35">
        <v>0.2</v>
      </c>
      <c r="P116" s="46">
        <f t="shared" si="63"/>
        <v>1</v>
      </c>
      <c r="Q116" s="46"/>
      <c r="R116" s="46"/>
      <c r="S116" s="35">
        <v>0.2</v>
      </c>
      <c r="T116" s="331">
        <f t="shared" si="60"/>
        <v>1</v>
      </c>
      <c r="U116" s="335">
        <f t="shared" si="64"/>
        <v>0.8</v>
      </c>
      <c r="V116" s="335">
        <f t="shared" si="65"/>
        <v>0.8</v>
      </c>
      <c r="W116" s="335">
        <f t="shared" si="61"/>
        <v>1</v>
      </c>
    </row>
    <row r="117" spans="1:24" ht="30" x14ac:dyDescent="0.25">
      <c r="A117" s="42" t="s">
        <v>2037</v>
      </c>
      <c r="B117" s="349" t="s">
        <v>2038</v>
      </c>
      <c r="C117" s="334">
        <v>0.03</v>
      </c>
      <c r="D117" s="35">
        <v>0.2</v>
      </c>
      <c r="E117" s="35">
        <v>0.2</v>
      </c>
      <c r="F117" s="35">
        <f t="shared" si="58"/>
        <v>1</v>
      </c>
      <c r="G117" s="35">
        <v>0.2</v>
      </c>
      <c r="H117" s="35">
        <v>0.2</v>
      </c>
      <c r="I117" s="35">
        <f t="shared" si="59"/>
        <v>1</v>
      </c>
      <c r="J117" s="35">
        <v>0.2</v>
      </c>
      <c r="K117" s="35">
        <v>0.2</v>
      </c>
      <c r="L117" s="35">
        <f t="shared" si="62"/>
        <v>1</v>
      </c>
      <c r="M117" s="35"/>
      <c r="N117" s="35">
        <v>0.2</v>
      </c>
      <c r="O117" s="35">
        <v>0.2</v>
      </c>
      <c r="P117" s="46">
        <f t="shared" si="63"/>
        <v>1</v>
      </c>
      <c r="Q117" s="46"/>
      <c r="R117" s="46"/>
      <c r="S117" s="35">
        <v>0.2</v>
      </c>
      <c r="T117" s="331">
        <f t="shared" si="60"/>
        <v>1</v>
      </c>
      <c r="U117" s="335">
        <f t="shared" si="64"/>
        <v>0.8</v>
      </c>
      <c r="V117" s="335">
        <f t="shared" si="65"/>
        <v>0.8</v>
      </c>
      <c r="W117" s="335">
        <f t="shared" si="61"/>
        <v>1</v>
      </c>
    </row>
    <row r="118" spans="1:24" ht="30" x14ac:dyDescent="0.25">
      <c r="A118" s="42" t="s">
        <v>2039</v>
      </c>
      <c r="B118" s="349" t="s">
        <v>2040</v>
      </c>
      <c r="C118" s="334">
        <v>0.03</v>
      </c>
      <c r="D118" s="35">
        <v>0.2</v>
      </c>
      <c r="E118" s="35">
        <f>20%*67%</f>
        <v>0.13400000000000001</v>
      </c>
      <c r="F118" s="35">
        <f t="shared" si="58"/>
        <v>0.67</v>
      </c>
      <c r="G118" s="35">
        <v>0.2</v>
      </c>
      <c r="H118" s="35">
        <v>0.2</v>
      </c>
      <c r="I118" s="35">
        <f t="shared" si="59"/>
        <v>1</v>
      </c>
      <c r="J118" s="35">
        <v>0.2</v>
      </c>
      <c r="K118" s="35">
        <v>0.2</v>
      </c>
      <c r="L118" s="35">
        <f t="shared" si="62"/>
        <v>1</v>
      </c>
      <c r="M118" s="35"/>
      <c r="N118" s="35">
        <v>0.2</v>
      </c>
      <c r="O118" s="35">
        <v>0.2</v>
      </c>
      <c r="P118" s="46">
        <f t="shared" si="63"/>
        <v>1</v>
      </c>
      <c r="Q118" s="46"/>
      <c r="R118" s="46"/>
      <c r="S118" s="35">
        <v>0.2</v>
      </c>
      <c r="T118" s="331">
        <f t="shared" si="60"/>
        <v>1</v>
      </c>
      <c r="U118" s="335">
        <f t="shared" si="64"/>
        <v>0.8</v>
      </c>
      <c r="V118" s="335">
        <f t="shared" si="65"/>
        <v>0.73399999999999999</v>
      </c>
      <c r="W118" s="335">
        <f t="shared" si="61"/>
        <v>0.91749999999999998</v>
      </c>
      <c r="X118" s="325" t="s">
        <v>2041</v>
      </c>
    </row>
    <row r="119" spans="1:24" hidden="1" x14ac:dyDescent="0.25">
      <c r="A119" s="42" t="s">
        <v>2042</v>
      </c>
      <c r="B119" s="349" t="s">
        <v>2043</v>
      </c>
      <c r="C119" s="334">
        <v>0.03</v>
      </c>
      <c r="D119" s="35"/>
      <c r="E119" s="35"/>
      <c r="F119" s="35"/>
      <c r="G119" s="35">
        <v>1</v>
      </c>
      <c r="H119" s="107">
        <v>0</v>
      </c>
      <c r="I119" s="35">
        <f t="shared" si="59"/>
        <v>0</v>
      </c>
      <c r="J119" s="35"/>
      <c r="K119" s="35"/>
      <c r="L119" s="35"/>
      <c r="M119" s="35"/>
      <c r="N119" s="35"/>
      <c r="O119" s="35"/>
      <c r="P119" s="46" t="e">
        <f t="shared" si="63"/>
        <v>#DIV/0!</v>
      </c>
      <c r="Q119" s="46"/>
      <c r="R119" s="46"/>
      <c r="S119" s="35"/>
      <c r="T119" s="331">
        <f t="shared" si="60"/>
        <v>1</v>
      </c>
      <c r="U119" s="335">
        <f t="shared" si="64"/>
        <v>1</v>
      </c>
      <c r="V119" s="335">
        <f t="shared" si="65"/>
        <v>0</v>
      </c>
      <c r="W119" s="335">
        <f t="shared" si="61"/>
        <v>0</v>
      </c>
      <c r="X119" s="325" t="s">
        <v>2044</v>
      </c>
    </row>
    <row r="120" spans="1:24" x14ac:dyDescent="0.25">
      <c r="A120" s="42" t="s">
        <v>2045</v>
      </c>
      <c r="B120" s="349" t="s">
        <v>2046</v>
      </c>
      <c r="C120" s="334">
        <v>0.04</v>
      </c>
      <c r="D120" s="35">
        <v>0.2</v>
      </c>
      <c r="E120" s="35">
        <v>0.2</v>
      </c>
      <c r="F120" s="35">
        <f t="shared" si="58"/>
        <v>1</v>
      </c>
      <c r="G120" s="35">
        <v>0.2</v>
      </c>
      <c r="H120" s="35">
        <v>0.2</v>
      </c>
      <c r="I120" s="35">
        <f t="shared" si="59"/>
        <v>1</v>
      </c>
      <c r="J120" s="35">
        <v>0.2</v>
      </c>
      <c r="K120" s="35">
        <v>0.2</v>
      </c>
      <c r="L120" s="35">
        <f t="shared" si="62"/>
        <v>1</v>
      </c>
      <c r="M120" s="35"/>
      <c r="N120" s="35">
        <v>0.2</v>
      </c>
      <c r="O120" s="35">
        <v>0.2</v>
      </c>
      <c r="P120" s="46">
        <f t="shared" si="63"/>
        <v>1</v>
      </c>
      <c r="Q120" s="46"/>
      <c r="R120" s="46"/>
      <c r="S120" s="35">
        <v>0.2</v>
      </c>
      <c r="T120" s="331">
        <f t="shared" si="60"/>
        <v>1</v>
      </c>
      <c r="U120" s="335">
        <f t="shared" si="64"/>
        <v>0.8</v>
      </c>
      <c r="V120" s="335">
        <f t="shared" si="65"/>
        <v>0.8</v>
      </c>
      <c r="W120" s="335">
        <f t="shared" si="61"/>
        <v>1</v>
      </c>
    </row>
    <row r="121" spans="1:24" x14ac:dyDescent="0.25">
      <c r="A121" s="42" t="s">
        <v>2047</v>
      </c>
      <c r="B121" s="349" t="s">
        <v>2048</v>
      </c>
      <c r="C121" s="334">
        <v>0.02</v>
      </c>
      <c r="D121" s="35">
        <v>0.2</v>
      </c>
      <c r="E121" s="35">
        <v>0.2</v>
      </c>
      <c r="F121" s="35">
        <f t="shared" si="58"/>
        <v>1</v>
      </c>
      <c r="G121" s="35">
        <v>0.2</v>
      </c>
      <c r="H121" s="35">
        <v>0.2</v>
      </c>
      <c r="I121" s="35">
        <f t="shared" si="59"/>
        <v>1</v>
      </c>
      <c r="J121" s="35">
        <v>0.2</v>
      </c>
      <c r="K121" s="35">
        <v>0.2</v>
      </c>
      <c r="L121" s="35">
        <f t="shared" si="62"/>
        <v>1</v>
      </c>
      <c r="M121" s="35"/>
      <c r="N121" s="35">
        <v>0.2</v>
      </c>
      <c r="O121" s="35">
        <v>0.2</v>
      </c>
      <c r="P121" s="46">
        <f t="shared" si="63"/>
        <v>1</v>
      </c>
      <c r="Q121" s="46"/>
      <c r="R121" s="46"/>
      <c r="S121" s="35">
        <v>0.2</v>
      </c>
      <c r="T121" s="331">
        <f t="shared" si="60"/>
        <v>1</v>
      </c>
      <c r="U121" s="335">
        <f t="shared" si="64"/>
        <v>0.8</v>
      </c>
      <c r="V121" s="335">
        <f t="shared" si="65"/>
        <v>0.8</v>
      </c>
      <c r="W121" s="335">
        <f t="shared" si="61"/>
        <v>1</v>
      </c>
    </row>
    <row r="122" spans="1:24" ht="30" x14ac:dyDescent="0.25">
      <c r="A122" s="42" t="s">
        <v>2049</v>
      </c>
      <c r="B122" s="349" t="s">
        <v>2050</v>
      </c>
      <c r="C122" s="334">
        <v>0.03</v>
      </c>
      <c r="D122" s="35">
        <v>0.2</v>
      </c>
      <c r="E122" s="35">
        <v>0.2</v>
      </c>
      <c r="F122" s="35">
        <f t="shared" si="58"/>
        <v>1</v>
      </c>
      <c r="G122" s="35">
        <v>0.2</v>
      </c>
      <c r="H122" s="107">
        <v>0</v>
      </c>
      <c r="I122" s="35">
        <f t="shared" si="59"/>
        <v>0</v>
      </c>
      <c r="J122" s="35">
        <v>0.2</v>
      </c>
      <c r="K122" s="35">
        <f>20%*0.85</f>
        <v>0.17</v>
      </c>
      <c r="L122" s="35">
        <f t="shared" si="62"/>
        <v>0.85</v>
      </c>
      <c r="M122" s="35"/>
      <c r="N122" s="35">
        <v>0.2</v>
      </c>
      <c r="O122" s="35">
        <v>0.1</v>
      </c>
      <c r="P122" s="46">
        <f t="shared" si="63"/>
        <v>0.5</v>
      </c>
      <c r="Q122" s="46"/>
      <c r="R122" s="46"/>
      <c r="S122" s="35">
        <v>0.2</v>
      </c>
      <c r="T122" s="331">
        <f t="shared" si="60"/>
        <v>1</v>
      </c>
      <c r="U122" s="335">
        <f t="shared" si="64"/>
        <v>0.8</v>
      </c>
      <c r="V122" s="335">
        <f t="shared" si="65"/>
        <v>0.47</v>
      </c>
      <c r="W122" s="335">
        <f t="shared" si="61"/>
        <v>0.58749999999999991</v>
      </c>
      <c r="X122" s="325" t="s">
        <v>2051</v>
      </c>
    </row>
    <row r="123" spans="1:24" ht="30" hidden="1" x14ac:dyDescent="0.25">
      <c r="A123" s="42" t="s">
        <v>2052</v>
      </c>
      <c r="B123" s="349" t="s">
        <v>2053</v>
      </c>
      <c r="C123" s="334">
        <v>0.02</v>
      </c>
      <c r="D123" s="35">
        <v>0.5</v>
      </c>
      <c r="E123" s="35">
        <v>0.25</v>
      </c>
      <c r="F123" s="35">
        <f t="shared" si="58"/>
        <v>0.5</v>
      </c>
      <c r="G123" s="35">
        <v>0.5</v>
      </c>
      <c r="H123" s="35">
        <v>0.5</v>
      </c>
      <c r="I123" s="35">
        <f t="shared" si="59"/>
        <v>1</v>
      </c>
      <c r="J123" s="35"/>
      <c r="K123" s="35"/>
      <c r="L123" s="35"/>
      <c r="M123" s="35"/>
      <c r="N123" s="35"/>
      <c r="O123" s="35"/>
      <c r="P123" s="46" t="e">
        <f t="shared" si="63"/>
        <v>#DIV/0!</v>
      </c>
      <c r="Q123" s="46"/>
      <c r="R123" s="46"/>
      <c r="S123" s="35"/>
      <c r="T123" s="331">
        <f t="shared" si="60"/>
        <v>1</v>
      </c>
      <c r="U123" s="335">
        <f t="shared" si="64"/>
        <v>1</v>
      </c>
      <c r="V123" s="335">
        <f t="shared" si="65"/>
        <v>0.75</v>
      </c>
      <c r="W123" s="335">
        <f t="shared" si="61"/>
        <v>0.75</v>
      </c>
    </row>
    <row r="124" spans="1:24" hidden="1" x14ac:dyDescent="0.25">
      <c r="A124" s="42" t="s">
        <v>2054</v>
      </c>
      <c r="B124" s="349" t="s">
        <v>2055</v>
      </c>
      <c r="C124" s="334">
        <v>0.02</v>
      </c>
      <c r="D124" s="35">
        <v>0.5</v>
      </c>
      <c r="E124" s="35">
        <f>50%*97%</f>
        <v>0.48499999999999999</v>
      </c>
      <c r="F124" s="35">
        <f t="shared" si="58"/>
        <v>0.97</v>
      </c>
      <c r="G124" s="35">
        <v>0.5</v>
      </c>
      <c r="H124" s="35">
        <v>0.5</v>
      </c>
      <c r="I124" s="35">
        <f t="shared" si="59"/>
        <v>1</v>
      </c>
      <c r="J124" s="35"/>
      <c r="K124" s="35"/>
      <c r="L124" s="35"/>
      <c r="M124" s="35"/>
      <c r="N124" s="35"/>
      <c r="O124" s="35"/>
      <c r="P124" s="46" t="e">
        <f t="shared" si="63"/>
        <v>#DIV/0!</v>
      </c>
      <c r="Q124" s="46"/>
      <c r="R124" s="46"/>
      <c r="S124" s="35"/>
      <c r="T124" s="331">
        <f t="shared" si="60"/>
        <v>1</v>
      </c>
      <c r="U124" s="335">
        <f t="shared" si="64"/>
        <v>1</v>
      </c>
      <c r="V124" s="335">
        <f t="shared" si="65"/>
        <v>0.98499999999999999</v>
      </c>
      <c r="W124" s="335">
        <f t="shared" si="61"/>
        <v>0.98499999999999999</v>
      </c>
    </row>
    <row r="125" spans="1:24" hidden="1" x14ac:dyDescent="0.25">
      <c r="A125" s="42" t="s">
        <v>2056</v>
      </c>
      <c r="B125" s="349" t="s">
        <v>2057</v>
      </c>
      <c r="C125" s="334">
        <v>0.02</v>
      </c>
      <c r="D125" s="35">
        <v>1</v>
      </c>
      <c r="E125" s="35">
        <v>0.98</v>
      </c>
      <c r="F125" s="35">
        <f t="shared" si="58"/>
        <v>0.98</v>
      </c>
      <c r="G125" s="35"/>
      <c r="H125" s="107"/>
      <c r="I125" s="35"/>
      <c r="J125" s="35"/>
      <c r="K125" s="35"/>
      <c r="L125" s="35"/>
      <c r="M125" s="35"/>
      <c r="N125" s="35"/>
      <c r="O125" s="35"/>
      <c r="P125" s="46" t="e">
        <f t="shared" si="63"/>
        <v>#DIV/0!</v>
      </c>
      <c r="Q125" s="46"/>
      <c r="R125" s="46"/>
      <c r="S125" s="35"/>
      <c r="T125" s="331">
        <f t="shared" si="60"/>
        <v>1</v>
      </c>
      <c r="U125" s="335">
        <f t="shared" si="64"/>
        <v>1</v>
      </c>
      <c r="V125" s="335">
        <f t="shared" si="65"/>
        <v>0.98</v>
      </c>
      <c r="W125" s="335">
        <f t="shared" si="61"/>
        <v>0.98</v>
      </c>
    </row>
    <row r="126" spans="1:24" hidden="1" x14ac:dyDescent="0.25">
      <c r="A126" s="42" t="s">
        <v>2058</v>
      </c>
      <c r="B126" s="349" t="s">
        <v>2059</v>
      </c>
      <c r="C126" s="334">
        <v>0.02</v>
      </c>
      <c r="D126" s="35">
        <v>1</v>
      </c>
      <c r="E126" s="35">
        <v>0.85</v>
      </c>
      <c r="F126" s="35">
        <f t="shared" si="58"/>
        <v>0.85</v>
      </c>
      <c r="G126" s="35"/>
      <c r="H126" s="107">
        <v>0.15</v>
      </c>
      <c r="I126" s="35">
        <v>1</v>
      </c>
      <c r="J126" s="35"/>
      <c r="K126" s="35"/>
      <c r="L126" s="35"/>
      <c r="M126" s="35"/>
      <c r="N126" s="35"/>
      <c r="O126" s="35"/>
      <c r="P126" s="46" t="e">
        <f t="shared" si="63"/>
        <v>#DIV/0!</v>
      </c>
      <c r="Q126" s="46"/>
      <c r="R126" s="46"/>
      <c r="S126" s="35"/>
      <c r="T126" s="331">
        <f t="shared" si="60"/>
        <v>1</v>
      </c>
      <c r="U126" s="335">
        <f t="shared" si="64"/>
        <v>1</v>
      </c>
      <c r="V126" s="335">
        <f t="shared" si="65"/>
        <v>1</v>
      </c>
      <c r="W126" s="335">
        <f t="shared" si="61"/>
        <v>1</v>
      </c>
    </row>
    <row r="127" spans="1:24" hidden="1" x14ac:dyDescent="0.25">
      <c r="A127" s="42" t="s">
        <v>2060</v>
      </c>
      <c r="B127" s="349" t="s">
        <v>2061</v>
      </c>
      <c r="C127" s="334">
        <v>0.02</v>
      </c>
      <c r="D127" s="35">
        <v>1</v>
      </c>
      <c r="E127" s="35">
        <v>1</v>
      </c>
      <c r="F127" s="35">
        <f t="shared" si="58"/>
        <v>1</v>
      </c>
      <c r="G127" s="35"/>
      <c r="H127" s="107"/>
      <c r="I127" s="35"/>
      <c r="J127" s="35"/>
      <c r="K127" s="35"/>
      <c r="L127" s="35"/>
      <c r="M127" s="35"/>
      <c r="N127" s="35"/>
      <c r="O127" s="35"/>
      <c r="P127" s="46" t="e">
        <f t="shared" si="63"/>
        <v>#DIV/0!</v>
      </c>
      <c r="Q127" s="46"/>
      <c r="R127" s="46"/>
      <c r="S127" s="35"/>
      <c r="T127" s="331">
        <f t="shared" si="60"/>
        <v>1</v>
      </c>
      <c r="U127" s="335">
        <f t="shared" si="64"/>
        <v>1</v>
      </c>
      <c r="V127" s="335">
        <f t="shared" si="65"/>
        <v>1</v>
      </c>
      <c r="W127" s="335">
        <f t="shared" si="61"/>
        <v>1</v>
      </c>
    </row>
    <row r="128" spans="1:24" hidden="1" x14ac:dyDescent="0.25">
      <c r="A128" s="42" t="s">
        <v>2062</v>
      </c>
      <c r="B128" s="349" t="s">
        <v>2063</v>
      </c>
      <c r="C128" s="334">
        <v>0.03</v>
      </c>
      <c r="D128" s="35">
        <v>0.5</v>
      </c>
      <c r="E128" s="35">
        <v>0.5</v>
      </c>
      <c r="F128" s="35">
        <f t="shared" si="58"/>
        <v>1</v>
      </c>
      <c r="G128" s="35">
        <v>0.5</v>
      </c>
      <c r="H128" s="35">
        <v>0.5</v>
      </c>
      <c r="I128" s="35">
        <f t="shared" si="59"/>
        <v>1</v>
      </c>
      <c r="J128" s="35"/>
      <c r="K128" s="35"/>
      <c r="L128" s="35"/>
      <c r="M128" s="35"/>
      <c r="N128" s="35"/>
      <c r="O128" s="35"/>
      <c r="P128" s="46" t="e">
        <f t="shared" si="63"/>
        <v>#DIV/0!</v>
      </c>
      <c r="Q128" s="46"/>
      <c r="R128" s="46"/>
      <c r="S128" s="35"/>
      <c r="T128" s="331">
        <f t="shared" si="60"/>
        <v>1</v>
      </c>
      <c r="U128" s="335">
        <f t="shared" si="64"/>
        <v>1</v>
      </c>
      <c r="V128" s="335">
        <f t="shared" si="65"/>
        <v>1</v>
      </c>
      <c r="W128" s="335">
        <f t="shared" si="61"/>
        <v>1</v>
      </c>
    </row>
    <row r="129" spans="1:34" ht="45" hidden="1" x14ac:dyDescent="0.25">
      <c r="A129" s="42" t="s">
        <v>2064</v>
      </c>
      <c r="B129" s="349" t="s">
        <v>2065</v>
      </c>
      <c r="C129" s="334">
        <v>0.02</v>
      </c>
      <c r="D129" s="35">
        <f>100%*100%</f>
        <v>1</v>
      </c>
      <c r="E129" s="107">
        <f>28%*0.2</f>
        <v>5.6000000000000008E-2</v>
      </c>
      <c r="F129" s="35">
        <f t="shared" si="58"/>
        <v>5.6000000000000008E-2</v>
      </c>
      <c r="G129" s="107"/>
      <c r="H129" s="107"/>
      <c r="I129" s="35"/>
      <c r="J129" s="107"/>
      <c r="K129" s="107"/>
      <c r="L129" s="35"/>
      <c r="M129" s="35"/>
      <c r="N129" s="107"/>
      <c r="O129" s="107"/>
      <c r="P129" s="46" t="e">
        <f t="shared" si="63"/>
        <v>#DIV/0!</v>
      </c>
      <c r="Q129" s="46"/>
      <c r="R129" s="46"/>
      <c r="S129" s="107"/>
      <c r="T129" s="331">
        <f t="shared" si="60"/>
        <v>1</v>
      </c>
      <c r="U129" s="335">
        <f t="shared" si="64"/>
        <v>1</v>
      </c>
      <c r="V129" s="335">
        <f t="shared" si="65"/>
        <v>5.6000000000000008E-2</v>
      </c>
      <c r="W129" s="335">
        <f t="shared" si="61"/>
        <v>5.6000000000000008E-2</v>
      </c>
      <c r="X129" s="325" t="s">
        <v>2066</v>
      </c>
    </row>
    <row r="130" spans="1:34" ht="30" x14ac:dyDescent="0.25">
      <c r="A130" s="42" t="s">
        <v>2067</v>
      </c>
      <c r="B130" s="349" t="s">
        <v>2068</v>
      </c>
      <c r="C130" s="334">
        <v>0.02</v>
      </c>
      <c r="D130" s="35">
        <v>0.2</v>
      </c>
      <c r="E130" s="35">
        <f>20%*50%</f>
        <v>0.1</v>
      </c>
      <c r="F130" s="35">
        <f t="shared" si="58"/>
        <v>0.5</v>
      </c>
      <c r="G130" s="35">
        <v>0.2</v>
      </c>
      <c r="H130" s="35">
        <v>0.2</v>
      </c>
      <c r="I130" s="35">
        <f t="shared" si="59"/>
        <v>1</v>
      </c>
      <c r="J130" s="35">
        <v>0.2</v>
      </c>
      <c r="K130" s="35">
        <v>0.2</v>
      </c>
      <c r="L130" s="35">
        <f t="shared" si="62"/>
        <v>1</v>
      </c>
      <c r="M130" s="35"/>
      <c r="N130" s="35">
        <v>0.2</v>
      </c>
      <c r="O130" s="35">
        <v>0.2</v>
      </c>
      <c r="P130" s="46">
        <f t="shared" si="63"/>
        <v>1</v>
      </c>
      <c r="Q130" s="46"/>
      <c r="R130" s="46"/>
      <c r="S130" s="35">
        <v>0.2</v>
      </c>
      <c r="T130" s="331">
        <f t="shared" si="60"/>
        <v>1</v>
      </c>
      <c r="U130" s="335">
        <f t="shared" si="64"/>
        <v>0.8</v>
      </c>
      <c r="V130" s="335">
        <f t="shared" si="65"/>
        <v>0.7</v>
      </c>
      <c r="W130" s="335">
        <f t="shared" si="61"/>
        <v>0.87499999999999989</v>
      </c>
    </row>
    <row r="131" spans="1:34" x14ac:dyDescent="0.25">
      <c r="A131" s="42" t="s">
        <v>2069</v>
      </c>
      <c r="B131" s="349" t="s">
        <v>2070</v>
      </c>
      <c r="C131" s="334">
        <v>0.02</v>
      </c>
      <c r="D131" s="35">
        <v>0.2</v>
      </c>
      <c r="E131" s="35">
        <v>0.2</v>
      </c>
      <c r="F131" s="35">
        <f t="shared" si="58"/>
        <v>1</v>
      </c>
      <c r="G131" s="35">
        <v>0.2</v>
      </c>
      <c r="H131" s="35">
        <v>0.2</v>
      </c>
      <c r="I131" s="35">
        <f t="shared" si="59"/>
        <v>1</v>
      </c>
      <c r="J131" s="35">
        <v>0.2</v>
      </c>
      <c r="K131" s="35">
        <f>20%*0.75</f>
        <v>0.15000000000000002</v>
      </c>
      <c r="L131" s="35">
        <f t="shared" si="62"/>
        <v>0.75000000000000011</v>
      </c>
      <c r="M131" s="35"/>
      <c r="N131" s="35">
        <v>0.2</v>
      </c>
      <c r="O131" s="35">
        <f>+N131*0.75</f>
        <v>0.15000000000000002</v>
      </c>
      <c r="P131" s="46">
        <f t="shared" si="63"/>
        <v>0.75000000000000011</v>
      </c>
      <c r="Q131" s="46"/>
      <c r="R131" s="46"/>
      <c r="S131" s="35">
        <v>0.2</v>
      </c>
      <c r="T131" s="331">
        <f t="shared" si="60"/>
        <v>1</v>
      </c>
      <c r="U131" s="335">
        <f t="shared" si="64"/>
        <v>0.8</v>
      </c>
      <c r="V131" s="335">
        <f t="shared" si="65"/>
        <v>0.70000000000000007</v>
      </c>
      <c r="W131" s="335">
        <f t="shared" si="61"/>
        <v>0.875</v>
      </c>
      <c r="Y131" s="526">
        <v>2012</v>
      </c>
      <c r="Z131" s="527"/>
      <c r="AA131" s="527"/>
      <c r="AC131" s="540">
        <v>2013</v>
      </c>
      <c r="AD131" s="540"/>
      <c r="AE131" s="540"/>
      <c r="AF131" s="540">
        <v>2014</v>
      </c>
      <c r="AG131" s="540"/>
      <c r="AH131" s="540"/>
    </row>
    <row r="132" spans="1:34" ht="30" x14ac:dyDescent="0.25">
      <c r="A132" s="42" t="s">
        <v>2071</v>
      </c>
      <c r="B132" s="36" t="s">
        <v>2072</v>
      </c>
      <c r="C132" s="334">
        <v>0.02</v>
      </c>
      <c r="D132" s="35">
        <v>0</v>
      </c>
      <c r="E132" s="35">
        <v>0</v>
      </c>
      <c r="F132" s="35">
        <v>0</v>
      </c>
      <c r="G132" s="35"/>
      <c r="H132" s="107"/>
      <c r="I132" s="35"/>
      <c r="J132" s="35">
        <v>0.5</v>
      </c>
      <c r="K132" s="35">
        <v>0.5</v>
      </c>
      <c r="L132" s="35">
        <f t="shared" si="62"/>
        <v>1</v>
      </c>
      <c r="M132" s="35"/>
      <c r="N132" s="35"/>
      <c r="O132" s="35"/>
      <c r="P132" s="46"/>
      <c r="Q132" s="46"/>
      <c r="R132" s="46"/>
      <c r="S132" s="35">
        <v>0.5</v>
      </c>
      <c r="T132" s="331">
        <f t="shared" si="60"/>
        <v>1</v>
      </c>
      <c r="U132" s="335">
        <f t="shared" si="64"/>
        <v>0.5</v>
      </c>
      <c r="V132" s="335">
        <f t="shared" si="65"/>
        <v>0.5</v>
      </c>
      <c r="W132" s="335">
        <f t="shared" si="61"/>
        <v>1</v>
      </c>
      <c r="Y132" s="332">
        <f>SUM(D101:D132)</f>
        <v>11.75</v>
      </c>
      <c r="Z132" s="332">
        <f>SUM(E101:E132)</f>
        <v>10.098100000000001</v>
      </c>
      <c r="AA132" s="332">
        <f>+Z132/Y132</f>
        <v>0.85941276595744687</v>
      </c>
      <c r="AB132" t="s">
        <v>2073</v>
      </c>
      <c r="AC132" s="332">
        <f>SUM(G101:G132)</f>
        <v>6.9875000000000016</v>
      </c>
      <c r="AD132" s="332">
        <f>SUM(H101:H132)</f>
        <v>5.6175000000000015</v>
      </c>
      <c r="AE132" s="332">
        <f>+AD132/AC132</f>
        <v>0.80393559928443648</v>
      </c>
      <c r="AF132" s="332">
        <f>SUM(J102:J132)</f>
        <v>6.1275000000000013</v>
      </c>
      <c r="AG132" s="332">
        <f>SUM(K102:K132)</f>
        <v>4.8600000000000021</v>
      </c>
      <c r="AH132" s="332">
        <f>+AG132/AF132</f>
        <v>0.79314565483476152</v>
      </c>
    </row>
    <row r="133" spans="1:34" ht="30" x14ac:dyDescent="0.25">
      <c r="A133" s="336" t="s">
        <v>2074</v>
      </c>
      <c r="B133" s="339" t="s">
        <v>2075</v>
      </c>
      <c r="C133" s="334">
        <v>0.02</v>
      </c>
      <c r="D133" s="346">
        <f>100%*10%+100%*10%</f>
        <v>0.2</v>
      </c>
      <c r="E133" s="346">
        <f>50%*10%+100%*10%</f>
        <v>0.15000000000000002</v>
      </c>
      <c r="F133" s="35">
        <f t="shared" si="58"/>
        <v>0.75000000000000011</v>
      </c>
      <c r="G133" s="346">
        <f>30%*25%+10%*100%+30%*25%+10%*100%</f>
        <v>0.35</v>
      </c>
      <c r="H133" s="346">
        <f>30%*25%+10%*100%</f>
        <v>0.17499999999999999</v>
      </c>
      <c r="I133" s="35">
        <f t="shared" si="59"/>
        <v>0.5</v>
      </c>
      <c r="J133" s="346">
        <f>30%*25%+30%*25%</f>
        <v>0.15</v>
      </c>
      <c r="K133" s="346">
        <f>30%*25%+30%*25%</f>
        <v>0.15</v>
      </c>
      <c r="L133" s="35">
        <f t="shared" si="62"/>
        <v>1</v>
      </c>
      <c r="M133" s="35">
        <f>30%*25%</f>
        <v>7.4999999999999997E-2</v>
      </c>
      <c r="N133" s="346">
        <f t="shared" ref="N133:S133" si="66">30%*25%+30%*25%</f>
        <v>0.15</v>
      </c>
      <c r="O133" s="346">
        <v>0.15</v>
      </c>
      <c r="P133" s="46">
        <f t="shared" si="63"/>
        <v>1</v>
      </c>
      <c r="Q133" s="46"/>
      <c r="R133" s="46"/>
      <c r="S133" s="346">
        <f t="shared" si="66"/>
        <v>0.15</v>
      </c>
      <c r="T133" s="331">
        <f t="shared" si="60"/>
        <v>1</v>
      </c>
      <c r="U133" s="335">
        <f t="shared" si="64"/>
        <v>0.85000000000000009</v>
      </c>
      <c r="V133" s="335">
        <f t="shared" si="65"/>
        <v>0.7</v>
      </c>
      <c r="W133" s="335">
        <f t="shared" si="61"/>
        <v>0.82352941176470573</v>
      </c>
    </row>
    <row r="134" spans="1:34" ht="30" hidden="1" x14ac:dyDescent="0.25">
      <c r="A134" s="336" t="s">
        <v>2076</v>
      </c>
      <c r="B134" s="339" t="s">
        <v>2077</v>
      </c>
      <c r="C134" s="334">
        <v>0.02</v>
      </c>
      <c r="D134" s="346"/>
      <c r="E134" s="35"/>
      <c r="F134" s="35"/>
      <c r="G134" s="346">
        <v>1</v>
      </c>
      <c r="H134" s="346">
        <v>1</v>
      </c>
      <c r="I134" s="35">
        <f t="shared" si="59"/>
        <v>1</v>
      </c>
      <c r="J134" s="346"/>
      <c r="K134" s="346"/>
      <c r="L134" s="35"/>
      <c r="M134" s="35"/>
      <c r="N134" s="346"/>
      <c r="O134" s="346"/>
      <c r="P134" s="46" t="e">
        <f t="shared" si="63"/>
        <v>#DIV/0!</v>
      </c>
      <c r="Q134" s="46"/>
      <c r="R134" s="46"/>
      <c r="S134" s="346"/>
      <c r="T134" s="331">
        <f t="shared" si="60"/>
        <v>1</v>
      </c>
      <c r="U134" s="335">
        <f t="shared" si="64"/>
        <v>1</v>
      </c>
      <c r="V134" s="335">
        <f t="shared" si="65"/>
        <v>1</v>
      </c>
      <c r="W134" s="335">
        <f t="shared" si="61"/>
        <v>1</v>
      </c>
    </row>
    <row r="135" spans="1:34" ht="60" x14ac:dyDescent="0.25">
      <c r="A135" s="336" t="s">
        <v>2078</v>
      </c>
      <c r="B135" s="339" t="s">
        <v>2079</v>
      </c>
      <c r="C135" s="334">
        <v>0.02</v>
      </c>
      <c r="D135" s="346"/>
      <c r="E135" s="35"/>
      <c r="F135" s="35"/>
      <c r="G135" s="346">
        <f>33%*25%+33%*100%+34%*25%</f>
        <v>0.49750000000000005</v>
      </c>
      <c r="H135" s="346">
        <f>33%*25%+33%*75%</f>
        <v>0.33</v>
      </c>
      <c r="I135" s="35">
        <f t="shared" si="59"/>
        <v>0.66331658291457285</v>
      </c>
      <c r="J135" s="346">
        <f>33%*25%+34%*25%</f>
        <v>0.16750000000000001</v>
      </c>
      <c r="K135" s="346">
        <f>33%*25%+34%*25%</f>
        <v>0.16750000000000001</v>
      </c>
      <c r="L135" s="35">
        <f t="shared" si="62"/>
        <v>1</v>
      </c>
      <c r="M135" s="35">
        <f>34%*25%</f>
        <v>8.5000000000000006E-2</v>
      </c>
      <c r="N135" s="346">
        <f t="shared" ref="N135:S135" si="67">33%*25%+34%*25%</f>
        <v>0.16750000000000001</v>
      </c>
      <c r="O135" s="65">
        <v>0.17</v>
      </c>
      <c r="P135" s="46">
        <f t="shared" si="63"/>
        <v>1.0149253731343284</v>
      </c>
      <c r="Q135" s="46"/>
      <c r="R135" s="46"/>
      <c r="S135" s="346">
        <f t="shared" si="67"/>
        <v>0.16750000000000001</v>
      </c>
      <c r="T135" s="331">
        <f t="shared" si="60"/>
        <v>1</v>
      </c>
      <c r="U135" s="335">
        <f t="shared" si="64"/>
        <v>0.83250000000000002</v>
      </c>
      <c r="V135" s="335">
        <f t="shared" si="65"/>
        <v>0.75250000000000006</v>
      </c>
      <c r="W135" s="335">
        <f t="shared" si="61"/>
        <v>0.90390390390390396</v>
      </c>
    </row>
    <row r="136" spans="1:34" ht="30" x14ac:dyDescent="0.25">
      <c r="A136" s="336" t="s">
        <v>2080</v>
      </c>
      <c r="B136" s="339" t="s">
        <v>2081</v>
      </c>
      <c r="C136" s="334">
        <v>0.02</v>
      </c>
      <c r="D136" s="346">
        <v>0.33</v>
      </c>
      <c r="E136" s="35">
        <f>33%*75%</f>
        <v>0.2475</v>
      </c>
      <c r="F136" s="35">
        <f t="shared" si="58"/>
        <v>0.75</v>
      </c>
      <c r="G136" s="65">
        <f>67%*25%</f>
        <v>0.16750000000000001</v>
      </c>
      <c r="H136" s="65">
        <v>0</v>
      </c>
      <c r="I136" s="107">
        <f t="shared" si="59"/>
        <v>0</v>
      </c>
      <c r="J136" s="65">
        <f t="shared" ref="J136:S136" si="68">67%*25%</f>
        <v>0.16750000000000001</v>
      </c>
      <c r="K136" s="65">
        <f t="shared" si="68"/>
        <v>0.16750000000000001</v>
      </c>
      <c r="L136" s="107">
        <f t="shared" si="62"/>
        <v>1</v>
      </c>
      <c r="M136" s="107"/>
      <c r="N136" s="65">
        <f t="shared" si="68"/>
        <v>0.16750000000000001</v>
      </c>
      <c r="O136" s="65">
        <v>0.17</v>
      </c>
      <c r="P136" s="46">
        <f t="shared" si="63"/>
        <v>1.0149253731343284</v>
      </c>
      <c r="Q136" s="46"/>
      <c r="R136" s="46"/>
      <c r="S136" s="65">
        <f t="shared" si="68"/>
        <v>0.16750000000000001</v>
      </c>
      <c r="T136" s="331">
        <f t="shared" si="60"/>
        <v>1</v>
      </c>
      <c r="U136" s="335">
        <f t="shared" si="64"/>
        <v>0.83250000000000002</v>
      </c>
      <c r="V136" s="335">
        <f t="shared" si="65"/>
        <v>0.58500000000000008</v>
      </c>
      <c r="W136" s="335">
        <f t="shared" si="61"/>
        <v>0.70270270270270274</v>
      </c>
      <c r="X136" s="325" t="s">
        <v>2082</v>
      </c>
    </row>
    <row r="137" spans="1:34" ht="30" x14ac:dyDescent="0.25">
      <c r="A137" s="336" t="s">
        <v>2083</v>
      </c>
      <c r="B137" s="339" t="s">
        <v>2084</v>
      </c>
      <c r="C137" s="334">
        <v>0.02</v>
      </c>
      <c r="D137" s="346">
        <v>0.2</v>
      </c>
      <c r="E137" s="35">
        <v>0.2</v>
      </c>
      <c r="F137" s="35">
        <f t="shared" si="58"/>
        <v>1</v>
      </c>
      <c r="G137" s="346">
        <v>0.2</v>
      </c>
      <c r="H137" s="346">
        <v>0.2</v>
      </c>
      <c r="I137" s="35">
        <f t="shared" si="59"/>
        <v>1</v>
      </c>
      <c r="J137" s="346">
        <v>0.2</v>
      </c>
      <c r="K137" s="346">
        <v>0.2</v>
      </c>
      <c r="L137" s="35">
        <f t="shared" si="62"/>
        <v>1</v>
      </c>
      <c r="M137" s="35"/>
      <c r="N137" s="346">
        <v>0.2</v>
      </c>
      <c r="O137" s="65">
        <v>0.2</v>
      </c>
      <c r="P137" s="46">
        <f t="shared" si="63"/>
        <v>1</v>
      </c>
      <c r="Q137" s="46"/>
      <c r="R137" s="46"/>
      <c r="S137" s="346">
        <v>0.2</v>
      </c>
      <c r="T137" s="331">
        <f t="shared" si="60"/>
        <v>1</v>
      </c>
      <c r="U137" s="335">
        <f t="shared" si="64"/>
        <v>0.8</v>
      </c>
      <c r="V137" s="335">
        <f t="shared" si="65"/>
        <v>0.8</v>
      </c>
      <c r="W137" s="335">
        <f t="shared" si="61"/>
        <v>1</v>
      </c>
    </row>
    <row r="138" spans="1:34" x14ac:dyDescent="0.25">
      <c r="A138" s="40"/>
      <c r="B138" s="341" t="s">
        <v>1896</v>
      </c>
      <c r="C138" s="334">
        <f>SUM(C101:C137)</f>
        <v>1.0000000000000002</v>
      </c>
      <c r="D138" s="541"/>
      <c r="E138" s="542"/>
      <c r="F138" s="542"/>
      <c r="G138" s="529"/>
      <c r="H138" s="529"/>
      <c r="I138" s="529"/>
      <c r="J138" s="529"/>
      <c r="K138" s="529"/>
      <c r="L138" s="529"/>
      <c r="M138" s="529"/>
      <c r="N138" s="529"/>
      <c r="O138" s="529"/>
      <c r="P138" s="529"/>
      <c r="Q138" s="529"/>
      <c r="R138" s="529"/>
      <c r="S138" s="529"/>
      <c r="T138" s="530"/>
      <c r="U138" s="348"/>
      <c r="V138" s="335">
        <f>+E138+H138+K138+M138</f>
        <v>0</v>
      </c>
      <c r="W138" s="348"/>
    </row>
    <row r="139" spans="1:34" x14ac:dyDescent="0.25">
      <c r="A139" s="531" t="s">
        <v>1908</v>
      </c>
      <c r="B139" s="532"/>
      <c r="C139" s="343"/>
      <c r="D139" s="331">
        <f>+D101*$C$101+D102*$C$102+D103*$C$103+D104*$C$104+D105*$C$105+D106*$C$106+D107*$C$107+D108*$C$108+D109*$C$109+D110*$C$110+D111*$C$111+D112*$C$112+D113*$C$113+D114*$C$114+D115*$C$115+D116*$C$116+D117*$C$117+D118*$C$118+D119*$C$119+D120*$C$120+D121*$C$121+D122*$C$122+D123*$C$123+D124*$C$124+D125*$C$125+D126*$C$126+D127*$C$127+D128*$C$128+D129*$C$129+D130*$C$130+D131*$C$131+D132*$C$132+D133*$C$133+D134*$C$134+D135*$C$135+D136*$C$136+D137*$C$137</f>
        <v>0.3207000000000001</v>
      </c>
      <c r="E139" s="331">
        <f t="shared" ref="E139" si="69">+E101*$C$101+E102*$C$102+E103*$C$103+E104*$C$104+E105*$C$105+E106*$C$106+E107*$C$107+E108*$C$108+E109*$C$109+E110*$C$110+E111*$C$111+E112*$C$112+E113*$C$113+E114*$C$114+E115*$C$115+E116*$C$116+E117*$C$117+E118*$C$118+E119*$C$119+E120*$C$120+E121*$C$121+E122*$C$122+E123*$C$123+E124*$C$124+E125*$C$125+E126*$C$126+E127*$C$127+E128*$C$128+E129*$C$129+E130*$C$130+E131*$C$131+E132*$C$132+E133*$C$133+E134*$C$134+E135*$C$135+E136*$C$136+E137*$C$137</f>
        <v>0.27394400000000008</v>
      </c>
      <c r="F139" s="331">
        <f t="shared" si="58"/>
        <v>0.8542064234487059</v>
      </c>
      <c r="G139" s="331">
        <f t="shared" ref="G139:S139" si="70">+G101*$C$101+G102*$C$102+G103*$C$103+G104*$C$104+G105*$C$105+G106*$C$106+G107*$C$107+G108*$C$108+G109*$C$109+G110*$C$110+G111*$C$111+G112*$C$112+G113*$C$113+G114*$C$114+G115*$C$115+G116*$C$116+G117*$C$117+G118*$C$118+G119*$C$119+G120*$C$120+G121*$C$121+G122*$C$122+G123*$C$123+G124*$C$124+G125*$C$125+G126*$C$126+G127*$C$127+G128*$C$128+G129*$C$129+G130*$C$130+G131*$C$131+G132*$C$132+G133*$C$133+G134*$C$134+G135*$C$135+G136*$C$136+G137*$C$137</f>
        <v>0.25662500000000005</v>
      </c>
      <c r="H139" s="331">
        <f t="shared" si="70"/>
        <v>0.18882499999999999</v>
      </c>
      <c r="I139" s="331">
        <f>+H139/G139</f>
        <v>0.73580126643935684</v>
      </c>
      <c r="J139" s="331">
        <f>+J101*$C$101+J102*$C$102+J103*$C$103+J104*$C$104+J105*$C$105+J106*$C$106+J107*$C$107+J108*$C$108+J109*$C$109+J110*$C$110+J111*$C$111+J112*$C$112+J113*$C$113+J114*$C$114+J115*$C$115+J116*$C$116+J117*$C$117+J118*$C$118+J119*$C$119+J120*$C$120+J121*$C$121+J122*$C$122+J123*$C$123+J124*$C$124+J125*$C$125+J126*$C$126+J127*$C$127+J128*$C$128+J129*$C$129+J130*$C$130+J131*$C$131+J132*$C$132+J133*$C$133+J134*$C$134+J135*$C$135+J136*$C$136+J137*$C$137</f>
        <v>0.18402500000000005</v>
      </c>
      <c r="K139" s="331">
        <f>+M101*$C$101+K102*$C$102+K103*$C$103+K104*$C$104+K105*$C$105+K106*$C$106+K107*$C$107+K108*$C$108+K109*$C$109+K110*$C$110+K111*$C$111+K112*$C$112+K113*$C$113+K114*$C$114+K115*$C$115+K116*$C$116+K117*$C$117+K118*$C$118+K119*$C$119+K120*$C$120+K121*$C$121+K122*$C$122+K123*$C$123+K124*$C$124+K125*$C$125+K126*$C$126+K127*$C$127+K128*$C$128+K129*$C$129+K130*$C$130+K131*$C$131+K132*$C$132+K133*$C$133+K134*$C$134+K135*$C$135+K136*$C$136+K137*$C$137</f>
        <v>0.15862500000000004</v>
      </c>
      <c r="L139" s="331">
        <f>+K139/J139</f>
        <v>0.86197527509849203</v>
      </c>
      <c r="M139" s="331">
        <f>+S101*$C$101+M102*$C$102+M103*$C$103+M104*$C$104+M105*$C$105+M106*$C$106+M107*$C$107+M108*$C$108+M109*$C$109+M110*$C$110+M111*$C$111+M112*$C$112+M113*$C$113+M114*$C$114+M115*$C$115+M116*$C$116+M117*$C$117+M118*$C$118+M119*$C$119+M120*$C$120+M121*$C$121+M122*$C$122+M123*$C$123+M124*$C$124+M125*$C$125+M126*$C$126+M127*$C$127+M128*$C$128+M129*$C$129+M130*$C$130+M131*$C$131+M132*$C$132+M133*$C$133+M134*$C$134+M135*$C$135+M136*$C$136+M137*$C$137</f>
        <v>1.5440000000000002E-2</v>
      </c>
      <c r="N139" s="331">
        <f t="shared" si="70"/>
        <v>0.10412500000000002</v>
      </c>
      <c r="O139" s="331">
        <f t="shared" si="70"/>
        <v>0.10030000000000003</v>
      </c>
      <c r="P139" s="331">
        <f>+O139/N139</f>
        <v>0.96326530612244898</v>
      </c>
      <c r="Q139" s="331">
        <f t="shared" si="70"/>
        <v>0</v>
      </c>
      <c r="R139" s="331">
        <f t="shared" si="70"/>
        <v>2.76E-2</v>
      </c>
      <c r="S139" s="331">
        <f t="shared" si="70"/>
        <v>0.13452500000000003</v>
      </c>
      <c r="T139" s="331">
        <f>+D139+G139+J139+N139+S139</f>
        <v>1.0000000000000002</v>
      </c>
      <c r="U139" s="335">
        <f>+D139+G139+J139</f>
        <v>0.76135000000000019</v>
      </c>
      <c r="V139" s="335">
        <f>+E139+H139+K139+M139</f>
        <v>0.63683400000000012</v>
      </c>
      <c r="W139" s="335">
        <f t="shared" ref="W139" si="71">+V139/U139</f>
        <v>0.83645366782688635</v>
      </c>
    </row>
    <row r="140" spans="1:34" x14ac:dyDescent="0.25">
      <c r="H140" s="137"/>
    </row>
    <row r="141" spans="1:34" x14ac:dyDescent="0.25">
      <c r="H141" s="137"/>
    </row>
    <row r="142" spans="1:34" ht="18.75" x14ac:dyDescent="0.3">
      <c r="A142" s="535" t="s">
        <v>1</v>
      </c>
      <c r="B142" s="535"/>
      <c r="C142" s="535"/>
      <c r="D142" s="535"/>
      <c r="E142" s="535"/>
      <c r="F142" s="535"/>
      <c r="G142" s="535"/>
      <c r="H142" s="535"/>
      <c r="I142" s="535"/>
      <c r="J142" s="535"/>
      <c r="K142" s="535"/>
      <c r="L142" s="535"/>
      <c r="M142" s="535"/>
      <c r="N142" s="535"/>
      <c r="O142" s="535"/>
      <c r="P142" s="535"/>
      <c r="Q142" s="535"/>
      <c r="R142" s="535"/>
      <c r="S142" s="535"/>
      <c r="T142" s="535"/>
      <c r="U142" s="324"/>
      <c r="V142" s="324"/>
      <c r="W142" s="324"/>
    </row>
    <row r="143" spans="1:34" ht="18.75" x14ac:dyDescent="0.3">
      <c r="A143" s="535" t="s">
        <v>1884</v>
      </c>
      <c r="B143" s="535"/>
      <c r="C143" s="535"/>
      <c r="D143" s="535"/>
      <c r="E143" s="535"/>
      <c r="F143" s="535"/>
      <c r="G143" s="535"/>
      <c r="H143" s="535"/>
      <c r="I143" s="535"/>
      <c r="J143" s="535"/>
      <c r="K143" s="535"/>
      <c r="L143" s="535"/>
      <c r="M143" s="535"/>
      <c r="N143" s="535"/>
      <c r="O143" s="535"/>
      <c r="P143" s="535"/>
      <c r="Q143" s="535"/>
      <c r="R143" s="535"/>
      <c r="S143" s="535"/>
      <c r="T143" s="535"/>
      <c r="U143" s="324"/>
      <c r="V143" s="324"/>
      <c r="W143" s="324"/>
    </row>
    <row r="144" spans="1:34" ht="18.75" x14ac:dyDescent="0.3">
      <c r="A144" s="535" t="s">
        <v>1885</v>
      </c>
      <c r="B144" s="535"/>
      <c r="C144" s="535"/>
      <c r="D144" s="535"/>
      <c r="E144" s="535"/>
      <c r="F144" s="535"/>
      <c r="G144" s="535"/>
      <c r="H144" s="535"/>
      <c r="I144" s="535"/>
      <c r="J144" s="535"/>
      <c r="K144" s="535"/>
      <c r="L144" s="535"/>
      <c r="M144" s="535"/>
      <c r="N144" s="535"/>
      <c r="O144" s="535"/>
      <c r="P144" s="535"/>
      <c r="Q144" s="535"/>
      <c r="R144" s="535"/>
      <c r="S144" s="535"/>
      <c r="T144" s="535"/>
      <c r="U144" s="324"/>
      <c r="V144" s="324"/>
      <c r="W144" s="324"/>
    </row>
    <row r="145" spans="1:30" ht="18.75" x14ac:dyDescent="0.3">
      <c r="A145" s="535" t="s">
        <v>2085</v>
      </c>
      <c r="B145" s="535"/>
      <c r="C145" s="535"/>
      <c r="D145" s="535"/>
      <c r="E145" s="535"/>
      <c r="F145" s="535"/>
      <c r="G145" s="535"/>
      <c r="H145" s="535"/>
      <c r="I145" s="535"/>
      <c r="J145" s="535"/>
      <c r="K145" s="535"/>
      <c r="L145" s="535"/>
      <c r="M145" s="535"/>
      <c r="N145" s="535"/>
      <c r="O145" s="535"/>
      <c r="P145" s="535"/>
      <c r="Q145" s="535"/>
      <c r="R145" s="535"/>
      <c r="S145" s="535"/>
      <c r="T145" s="535"/>
      <c r="U145" s="324"/>
      <c r="V145" s="324"/>
      <c r="W145" s="324"/>
    </row>
    <row r="146" spans="1:30" ht="18.75" x14ac:dyDescent="0.3">
      <c r="A146" s="535" t="s">
        <v>2224</v>
      </c>
      <c r="B146" s="535"/>
      <c r="C146" s="535"/>
      <c r="D146" s="535"/>
      <c r="E146" s="535"/>
      <c r="F146" s="535"/>
      <c r="G146" s="535"/>
      <c r="H146" s="535"/>
      <c r="I146" s="535"/>
      <c r="J146" s="535"/>
      <c r="K146" s="535"/>
      <c r="L146" s="535"/>
      <c r="M146" s="535"/>
      <c r="N146" s="535"/>
      <c r="O146" s="535"/>
      <c r="P146" s="535"/>
      <c r="Q146" s="535"/>
      <c r="R146" s="535"/>
      <c r="S146" s="535"/>
      <c r="T146" s="535"/>
      <c r="U146" s="324"/>
      <c r="V146" s="324"/>
      <c r="W146" s="324"/>
    </row>
    <row r="147" spans="1:30" x14ac:dyDescent="0.25">
      <c r="A147" s="350"/>
      <c r="B147" s="350"/>
      <c r="C147" s="18"/>
      <c r="D147" s="18"/>
      <c r="E147" s="18"/>
      <c r="F147" s="18"/>
      <c r="G147" s="18"/>
      <c r="H147" s="351"/>
      <c r="I147" s="18"/>
      <c r="J147" s="18"/>
      <c r="K147" s="18"/>
      <c r="L147" s="18"/>
      <c r="M147" s="18"/>
      <c r="N147" s="18"/>
      <c r="O147" s="18"/>
      <c r="P147" s="18"/>
      <c r="Q147" s="18"/>
      <c r="R147" s="18"/>
      <c r="S147" s="18"/>
    </row>
    <row r="148" spans="1:30" x14ac:dyDescent="0.25">
      <c r="A148" s="537" t="s">
        <v>1910</v>
      </c>
      <c r="B148" s="537" t="s">
        <v>1911</v>
      </c>
      <c r="C148" s="537" t="s">
        <v>1888</v>
      </c>
      <c r="D148" s="531" t="s">
        <v>1912</v>
      </c>
      <c r="E148" s="539"/>
      <c r="F148" s="539"/>
      <c r="G148" s="539"/>
      <c r="H148" s="539"/>
      <c r="I148" s="539"/>
      <c r="J148" s="539"/>
      <c r="K148" s="539"/>
      <c r="L148" s="539"/>
      <c r="M148" s="539"/>
      <c r="N148" s="539"/>
      <c r="O148" s="539"/>
      <c r="P148" s="539"/>
      <c r="Q148" s="539"/>
      <c r="R148" s="539"/>
      <c r="S148" s="539"/>
      <c r="T148" s="532"/>
      <c r="U148" s="534" t="s">
        <v>1890</v>
      </c>
      <c r="V148" s="534"/>
      <c r="W148" s="534"/>
    </row>
    <row r="149" spans="1:30" ht="45" x14ac:dyDescent="0.25">
      <c r="A149" s="538" t="s">
        <v>1910</v>
      </c>
      <c r="B149" s="538"/>
      <c r="C149" s="538" t="s">
        <v>1888</v>
      </c>
      <c r="D149" s="326">
        <v>2012</v>
      </c>
      <c r="E149" s="326" t="s">
        <v>1891</v>
      </c>
      <c r="F149" s="326" t="s">
        <v>1892</v>
      </c>
      <c r="G149" s="326">
        <v>2013</v>
      </c>
      <c r="H149" s="326" t="s">
        <v>1891</v>
      </c>
      <c r="I149" s="326" t="s">
        <v>1892</v>
      </c>
      <c r="J149" s="326">
        <v>2014</v>
      </c>
      <c r="K149" s="326" t="s">
        <v>1891</v>
      </c>
      <c r="L149" s="326" t="s">
        <v>1892</v>
      </c>
      <c r="M149" s="326"/>
      <c r="N149" s="326">
        <v>2015</v>
      </c>
      <c r="O149" s="326" t="s">
        <v>1891</v>
      </c>
      <c r="P149" s="326" t="s">
        <v>1892</v>
      </c>
      <c r="Q149" s="327" t="s">
        <v>1894</v>
      </c>
      <c r="R149" s="327" t="s">
        <v>1895</v>
      </c>
      <c r="S149" s="326">
        <v>2016</v>
      </c>
      <c r="T149" s="326" t="s">
        <v>1896</v>
      </c>
      <c r="U149" s="328" t="s">
        <v>1897</v>
      </c>
      <c r="V149" s="328" t="s">
        <v>1898</v>
      </c>
      <c r="W149" s="328" t="s">
        <v>1899</v>
      </c>
    </row>
    <row r="150" spans="1:30" ht="45" hidden="1" x14ac:dyDescent="0.25">
      <c r="A150" s="42" t="s">
        <v>2086</v>
      </c>
      <c r="B150" s="72" t="s">
        <v>2087</v>
      </c>
      <c r="C150" s="334"/>
      <c r="D150" s="107">
        <v>0</v>
      </c>
      <c r="E150" s="107"/>
      <c r="F150" s="107"/>
      <c r="G150" s="107">
        <v>0</v>
      </c>
      <c r="H150" s="107"/>
      <c r="I150" s="107"/>
      <c r="J150" s="107">
        <v>0</v>
      </c>
      <c r="K150" s="107"/>
      <c r="L150" s="107"/>
      <c r="M150" s="107"/>
      <c r="N150" s="107">
        <v>0</v>
      </c>
      <c r="O150" s="107"/>
      <c r="P150" s="107"/>
      <c r="Q150" s="107"/>
      <c r="R150" s="107"/>
      <c r="S150" s="107">
        <v>0</v>
      </c>
      <c r="T150" s="331">
        <f t="shared" ref="T150:T177" si="72">+D150+G150+J150+N150+S150</f>
        <v>0</v>
      </c>
      <c r="U150" s="335"/>
      <c r="V150" s="335"/>
      <c r="W150" s="335"/>
    </row>
    <row r="151" spans="1:30" x14ac:dyDescent="0.25">
      <c r="A151" s="42" t="s">
        <v>2088</v>
      </c>
      <c r="B151" s="72" t="s">
        <v>2089</v>
      </c>
      <c r="C151" s="334">
        <v>0.1</v>
      </c>
      <c r="D151" s="107">
        <v>0.2</v>
      </c>
      <c r="E151" s="107">
        <v>0.2</v>
      </c>
      <c r="F151" s="35">
        <f t="shared" ref="F151:F173" si="73">+E151/D151</f>
        <v>1</v>
      </c>
      <c r="G151" s="107">
        <v>0.2</v>
      </c>
      <c r="H151" s="107">
        <v>0.2</v>
      </c>
      <c r="I151" s="35">
        <f t="shared" ref="I151:I176" si="74">+H151/G151</f>
        <v>1</v>
      </c>
      <c r="J151" s="107">
        <v>0.2</v>
      </c>
      <c r="K151" s="107">
        <v>0.1</v>
      </c>
      <c r="L151" s="35">
        <f t="shared" ref="L151:L177" si="75">+K151/J151</f>
        <v>0.5</v>
      </c>
      <c r="M151" s="35"/>
      <c r="N151" s="107">
        <v>0.2</v>
      </c>
      <c r="O151" s="107">
        <v>0.2</v>
      </c>
      <c r="P151" s="46">
        <f t="shared" ref="P151:P176" si="76">+O151/N151</f>
        <v>1</v>
      </c>
      <c r="Q151" s="46"/>
      <c r="R151" s="46"/>
      <c r="S151" s="107">
        <v>0.2</v>
      </c>
      <c r="T151" s="331">
        <f t="shared" si="72"/>
        <v>1</v>
      </c>
      <c r="U151" s="335">
        <f t="shared" ref="U151:U177" si="77">+D151+G151+J151+N151</f>
        <v>0.8</v>
      </c>
      <c r="V151" s="335">
        <f t="shared" ref="V151:V177" si="78">+E151+H151+K151+M151+O151+Q151+R151</f>
        <v>0.7</v>
      </c>
      <c r="W151" s="335">
        <f t="shared" ref="W151:W177" si="79">+V151/U151</f>
        <v>0.87499999999999989</v>
      </c>
      <c r="X151" s="325" t="s">
        <v>2090</v>
      </c>
    </row>
    <row r="152" spans="1:30" ht="45" x14ac:dyDescent="0.25">
      <c r="A152" s="42" t="s">
        <v>2091</v>
      </c>
      <c r="B152" s="72" t="s">
        <v>2092</v>
      </c>
      <c r="C152" s="334">
        <v>0.1</v>
      </c>
      <c r="D152" s="35">
        <v>0.2</v>
      </c>
      <c r="E152" s="35">
        <v>0.2</v>
      </c>
      <c r="F152" s="35">
        <f t="shared" si="73"/>
        <v>1</v>
      </c>
      <c r="G152" s="35">
        <v>0.2</v>
      </c>
      <c r="H152" s="35">
        <v>0.2</v>
      </c>
      <c r="I152" s="35">
        <f t="shared" si="74"/>
        <v>1</v>
      </c>
      <c r="J152" s="35">
        <v>0.2</v>
      </c>
      <c r="K152" s="35">
        <f>20%*75%</f>
        <v>0.15000000000000002</v>
      </c>
      <c r="L152" s="35">
        <f t="shared" si="75"/>
        <v>0.75000000000000011</v>
      </c>
      <c r="M152" s="35"/>
      <c r="N152" s="35">
        <v>0.2</v>
      </c>
      <c r="O152" s="35">
        <v>0.2</v>
      </c>
      <c r="P152" s="46">
        <f t="shared" si="76"/>
        <v>1</v>
      </c>
      <c r="Q152" s="46"/>
      <c r="R152" s="46"/>
      <c r="S152" s="35">
        <v>0.2</v>
      </c>
      <c r="T152" s="331">
        <f t="shared" si="72"/>
        <v>1</v>
      </c>
      <c r="U152" s="335">
        <f t="shared" si="77"/>
        <v>0.8</v>
      </c>
      <c r="V152" s="335">
        <f t="shared" si="78"/>
        <v>0.75</v>
      </c>
      <c r="W152" s="335">
        <f t="shared" si="79"/>
        <v>0.9375</v>
      </c>
      <c r="X152" s="325" t="s">
        <v>2093</v>
      </c>
    </row>
    <row r="153" spans="1:30" ht="30" x14ac:dyDescent="0.25">
      <c r="A153" s="42" t="s">
        <v>2094</v>
      </c>
      <c r="B153" s="250" t="s">
        <v>2095</v>
      </c>
      <c r="C153" s="334">
        <v>0.1</v>
      </c>
      <c r="D153" s="35">
        <f>100%*10%+20%*20%+20%*20%+20%*30%+10%*20%</f>
        <v>0.26</v>
      </c>
      <c r="E153" s="35">
        <v>0.26</v>
      </c>
      <c r="F153" s="35">
        <f t="shared" si="73"/>
        <v>1</v>
      </c>
      <c r="G153" s="35">
        <f>20%*20%+20%*20%+20%*30%+10%*25%+10%*20%</f>
        <v>0.185</v>
      </c>
      <c r="H153" s="35">
        <f>20%*20%+20%*20%+20%*30%+10%*25%+10%*20%</f>
        <v>0.185</v>
      </c>
      <c r="I153" s="35">
        <f t="shared" si="74"/>
        <v>1</v>
      </c>
      <c r="J153" s="35">
        <f>20%*20%+20%*20%+20%*30%+10%*25%+10%*20%</f>
        <v>0.185</v>
      </c>
      <c r="K153" s="35">
        <f>20%*20%+20%*20%+20%*30%+10%*25%+10%*20%</f>
        <v>0.185</v>
      </c>
      <c r="L153" s="35">
        <f t="shared" si="75"/>
        <v>1</v>
      </c>
      <c r="M153" s="35"/>
      <c r="N153" s="35">
        <f t="shared" ref="N153:S153" si="80">20%*20%+20%*20%+20%*30%+10%*25%+10%*20%</f>
        <v>0.185</v>
      </c>
      <c r="O153" s="35">
        <v>0.19</v>
      </c>
      <c r="P153" s="46">
        <f t="shared" si="76"/>
        <v>1.027027027027027</v>
      </c>
      <c r="Q153" s="46"/>
      <c r="R153" s="46"/>
      <c r="S153" s="35">
        <f t="shared" si="80"/>
        <v>0.185</v>
      </c>
      <c r="T153" s="331">
        <f t="shared" si="72"/>
        <v>1</v>
      </c>
      <c r="U153" s="335">
        <f t="shared" si="77"/>
        <v>0.81499999999999995</v>
      </c>
      <c r="V153" s="335">
        <f t="shared" si="78"/>
        <v>0.82000000000000006</v>
      </c>
      <c r="W153" s="335">
        <f t="shared" si="79"/>
        <v>1.0061349693251536</v>
      </c>
    </row>
    <row r="154" spans="1:30" x14ac:dyDescent="0.25">
      <c r="A154" s="42" t="s">
        <v>2096</v>
      </c>
      <c r="B154" s="72" t="s">
        <v>2097</v>
      </c>
      <c r="C154" s="334">
        <v>0.05</v>
      </c>
      <c r="D154" s="35">
        <v>0.5</v>
      </c>
      <c r="E154" s="35">
        <v>0.5</v>
      </c>
      <c r="F154" s="35">
        <f t="shared" si="73"/>
        <v>1</v>
      </c>
      <c r="G154" s="35">
        <v>0.5</v>
      </c>
      <c r="H154" s="35">
        <v>0.5</v>
      </c>
      <c r="I154" s="35">
        <f t="shared" si="74"/>
        <v>1</v>
      </c>
      <c r="J154" s="35"/>
      <c r="K154" s="35"/>
      <c r="L154" s="35"/>
      <c r="M154" s="35"/>
      <c r="N154" s="35"/>
      <c r="O154" s="35"/>
      <c r="P154" s="46"/>
      <c r="Q154" s="46"/>
      <c r="R154" s="46"/>
      <c r="S154" s="35"/>
      <c r="T154" s="331">
        <f t="shared" si="72"/>
        <v>1</v>
      </c>
      <c r="U154" s="335">
        <f t="shared" si="77"/>
        <v>1</v>
      </c>
      <c r="V154" s="335">
        <f t="shared" si="78"/>
        <v>1</v>
      </c>
      <c r="W154" s="335">
        <f t="shared" si="79"/>
        <v>1</v>
      </c>
      <c r="Y154" s="540">
        <v>2012</v>
      </c>
      <c r="Z154" s="540"/>
      <c r="AA154" s="540"/>
      <c r="AB154" s="540">
        <v>2013</v>
      </c>
      <c r="AC154" s="540"/>
      <c r="AD154" s="540"/>
    </row>
    <row r="155" spans="1:30" ht="30" x14ac:dyDescent="0.25">
      <c r="A155" s="42" t="s">
        <v>2098</v>
      </c>
      <c r="B155" s="72" t="s">
        <v>2099</v>
      </c>
      <c r="C155" s="334">
        <v>0.05</v>
      </c>
      <c r="D155" s="35">
        <v>0.2</v>
      </c>
      <c r="E155" s="35">
        <v>0.2</v>
      </c>
      <c r="F155" s="35">
        <f t="shared" si="73"/>
        <v>1</v>
      </c>
      <c r="G155" s="35">
        <v>0.2</v>
      </c>
      <c r="H155" s="35">
        <v>0.2</v>
      </c>
      <c r="I155" s="35">
        <f t="shared" si="74"/>
        <v>1</v>
      </c>
      <c r="J155" s="35">
        <v>0.2</v>
      </c>
      <c r="K155" s="35">
        <v>0.2</v>
      </c>
      <c r="L155" s="35">
        <f t="shared" si="75"/>
        <v>1</v>
      </c>
      <c r="M155" s="35"/>
      <c r="N155" s="35">
        <v>0.2</v>
      </c>
      <c r="O155" s="35">
        <v>0.2</v>
      </c>
      <c r="P155" s="46">
        <f t="shared" si="76"/>
        <v>1</v>
      </c>
      <c r="Q155" s="46"/>
      <c r="R155" s="46"/>
      <c r="S155" s="35">
        <v>0.2</v>
      </c>
      <c r="T155" s="331">
        <f t="shared" si="72"/>
        <v>1</v>
      </c>
      <c r="U155" s="335">
        <f t="shared" si="77"/>
        <v>0.8</v>
      </c>
      <c r="V155" s="335">
        <f t="shared" si="78"/>
        <v>0.8</v>
      </c>
      <c r="W155" s="335">
        <f t="shared" si="79"/>
        <v>1</v>
      </c>
      <c r="Y155" s="332">
        <f>SUM(D150:D155)</f>
        <v>1.36</v>
      </c>
      <c r="Z155" s="332">
        <f>SUM(E150:E155)</f>
        <v>1.36</v>
      </c>
      <c r="AA155" s="332">
        <f>+Z155/Y155</f>
        <v>1</v>
      </c>
      <c r="AB155" s="332">
        <f>SUM(G150:G155)</f>
        <v>1.2849999999999999</v>
      </c>
      <c r="AC155" s="332">
        <f>SUM(H150:H155)</f>
        <v>1.2849999999999999</v>
      </c>
      <c r="AD155" s="332">
        <f>+AC155/AB155</f>
        <v>1</v>
      </c>
    </row>
    <row r="156" spans="1:30" ht="45" x14ac:dyDescent="0.25">
      <c r="A156" s="42" t="s">
        <v>2100</v>
      </c>
      <c r="B156" s="250" t="s">
        <v>2101</v>
      </c>
      <c r="C156" s="334">
        <v>0.05</v>
      </c>
      <c r="D156" s="35">
        <f>100%*10%+20%*10%+20%*60%+20%*20%</f>
        <v>0.28000000000000003</v>
      </c>
      <c r="E156" s="35">
        <v>0.28000000000000003</v>
      </c>
      <c r="F156" s="35">
        <f t="shared" si="73"/>
        <v>1</v>
      </c>
      <c r="G156" s="35">
        <f>20%*10%+20%*60%+20%*20%</f>
        <v>0.18000000000000002</v>
      </c>
      <c r="H156" s="35">
        <f>20%*10%+20%*60%+20%*20%</f>
        <v>0.18000000000000002</v>
      </c>
      <c r="I156" s="35">
        <f t="shared" si="74"/>
        <v>1</v>
      </c>
      <c r="J156" s="35">
        <f>20%*10%+20%*60%+20%*20%</f>
        <v>0.18000000000000002</v>
      </c>
      <c r="K156" s="35">
        <f>20%*10%+20%*60%+20%*20%</f>
        <v>0.18000000000000002</v>
      </c>
      <c r="L156" s="35">
        <f t="shared" si="75"/>
        <v>1</v>
      </c>
      <c r="M156" s="35"/>
      <c r="N156" s="35">
        <f>20%*10%+20%*60%+20%*20%</f>
        <v>0.18000000000000002</v>
      </c>
      <c r="O156" s="35">
        <v>0.18</v>
      </c>
      <c r="P156" s="46">
        <f t="shared" si="76"/>
        <v>0.99999999999999989</v>
      </c>
      <c r="Q156" s="46"/>
      <c r="R156" s="46"/>
      <c r="S156" s="35">
        <f>20%*10%+20%*60%+20%*20%</f>
        <v>0.18000000000000002</v>
      </c>
      <c r="T156" s="331">
        <f t="shared" si="72"/>
        <v>1.0000000000000002</v>
      </c>
      <c r="U156" s="335">
        <f t="shared" si="77"/>
        <v>0.82000000000000017</v>
      </c>
      <c r="V156" s="335">
        <f t="shared" si="78"/>
        <v>0.82000000000000006</v>
      </c>
      <c r="W156" s="335">
        <f t="shared" si="79"/>
        <v>0.99999999999999989</v>
      </c>
    </row>
    <row r="157" spans="1:30" hidden="1" x14ac:dyDescent="0.25">
      <c r="A157" s="42"/>
      <c r="B157" s="72"/>
      <c r="C157" s="334"/>
      <c r="D157" s="35"/>
      <c r="E157" s="35"/>
      <c r="F157" s="35"/>
      <c r="G157" s="35"/>
      <c r="H157" s="352"/>
      <c r="I157" s="35" t="e">
        <f t="shared" si="74"/>
        <v>#DIV/0!</v>
      </c>
      <c r="J157" s="35"/>
      <c r="K157" s="35"/>
      <c r="L157" s="35" t="e">
        <f t="shared" si="75"/>
        <v>#DIV/0!</v>
      </c>
      <c r="M157" s="35"/>
      <c r="N157" s="35"/>
      <c r="O157" s="35"/>
      <c r="P157" s="46" t="e">
        <f t="shared" si="76"/>
        <v>#DIV/0!</v>
      </c>
      <c r="Q157" s="46"/>
      <c r="R157" s="46"/>
      <c r="S157" s="35"/>
      <c r="T157" s="331">
        <f t="shared" si="72"/>
        <v>0</v>
      </c>
      <c r="U157" s="335">
        <f t="shared" si="77"/>
        <v>0</v>
      </c>
      <c r="V157" s="335">
        <f t="shared" si="78"/>
        <v>0</v>
      </c>
      <c r="W157" s="335" t="e">
        <f t="shared" si="79"/>
        <v>#DIV/0!</v>
      </c>
    </row>
    <row r="158" spans="1:30" hidden="1" x14ac:dyDescent="0.25">
      <c r="A158" s="42"/>
      <c r="B158" s="72"/>
      <c r="C158" s="334"/>
      <c r="D158" s="35"/>
      <c r="E158" s="35"/>
      <c r="F158" s="35"/>
      <c r="G158" s="35"/>
      <c r="H158" s="352"/>
      <c r="I158" s="35" t="e">
        <f t="shared" si="74"/>
        <v>#DIV/0!</v>
      </c>
      <c r="J158" s="35"/>
      <c r="K158" s="35"/>
      <c r="L158" s="35" t="e">
        <f t="shared" si="75"/>
        <v>#DIV/0!</v>
      </c>
      <c r="M158" s="35"/>
      <c r="N158" s="35"/>
      <c r="O158" s="35"/>
      <c r="P158" s="46" t="e">
        <f t="shared" si="76"/>
        <v>#DIV/0!</v>
      </c>
      <c r="Q158" s="46"/>
      <c r="R158" s="46"/>
      <c r="S158" s="35"/>
      <c r="T158" s="331">
        <f t="shared" si="72"/>
        <v>0</v>
      </c>
      <c r="U158" s="335">
        <f t="shared" si="77"/>
        <v>0</v>
      </c>
      <c r="V158" s="335">
        <f t="shared" si="78"/>
        <v>0</v>
      </c>
      <c r="W158" s="335" t="e">
        <f t="shared" si="79"/>
        <v>#DIV/0!</v>
      </c>
    </row>
    <row r="159" spans="1:30" hidden="1" x14ac:dyDescent="0.25">
      <c r="A159" s="42"/>
      <c r="B159" s="72"/>
      <c r="C159" s="334"/>
      <c r="D159" s="35"/>
      <c r="E159" s="35"/>
      <c r="F159" s="35"/>
      <c r="G159" s="35"/>
      <c r="H159" s="352"/>
      <c r="I159" s="35" t="e">
        <f t="shared" si="74"/>
        <v>#DIV/0!</v>
      </c>
      <c r="J159" s="35"/>
      <c r="K159" s="35"/>
      <c r="L159" s="35" t="e">
        <f t="shared" si="75"/>
        <v>#DIV/0!</v>
      </c>
      <c r="M159" s="35"/>
      <c r="N159" s="35"/>
      <c r="O159" s="35"/>
      <c r="P159" s="46" t="e">
        <f t="shared" si="76"/>
        <v>#DIV/0!</v>
      </c>
      <c r="Q159" s="46"/>
      <c r="R159" s="46"/>
      <c r="S159" s="35"/>
      <c r="T159" s="331">
        <f t="shared" si="72"/>
        <v>0</v>
      </c>
      <c r="U159" s="335">
        <f t="shared" si="77"/>
        <v>0</v>
      </c>
      <c r="V159" s="335">
        <f t="shared" si="78"/>
        <v>0</v>
      </c>
      <c r="W159" s="335" t="e">
        <f t="shared" si="79"/>
        <v>#DIV/0!</v>
      </c>
    </row>
    <row r="160" spans="1:30" hidden="1" x14ac:dyDescent="0.25">
      <c r="A160" s="42"/>
      <c r="B160" s="72"/>
      <c r="C160" s="334"/>
      <c r="D160" s="35"/>
      <c r="E160" s="35"/>
      <c r="F160" s="35"/>
      <c r="G160" s="35"/>
      <c r="H160" s="352"/>
      <c r="I160" s="35" t="e">
        <f t="shared" si="74"/>
        <v>#DIV/0!</v>
      </c>
      <c r="J160" s="35"/>
      <c r="K160" s="35"/>
      <c r="L160" s="35" t="e">
        <f t="shared" si="75"/>
        <v>#DIV/0!</v>
      </c>
      <c r="M160" s="35"/>
      <c r="N160" s="35"/>
      <c r="O160" s="35"/>
      <c r="P160" s="46" t="e">
        <f t="shared" si="76"/>
        <v>#DIV/0!</v>
      </c>
      <c r="Q160" s="46"/>
      <c r="R160" s="46"/>
      <c r="S160" s="35"/>
      <c r="T160" s="331">
        <f t="shared" si="72"/>
        <v>0</v>
      </c>
      <c r="U160" s="335">
        <f t="shared" si="77"/>
        <v>0</v>
      </c>
      <c r="V160" s="335">
        <f t="shared" si="78"/>
        <v>0</v>
      </c>
      <c r="W160" s="335" t="e">
        <f t="shared" si="79"/>
        <v>#DIV/0!</v>
      </c>
    </row>
    <row r="161" spans="1:24" hidden="1" x14ac:dyDescent="0.25">
      <c r="A161" s="353"/>
      <c r="B161" s="250"/>
      <c r="C161" s="334"/>
      <c r="D161" s="354"/>
      <c r="E161" s="354"/>
      <c r="F161" s="35"/>
      <c r="G161" s="354"/>
      <c r="H161" s="355"/>
      <c r="I161" s="35" t="e">
        <f t="shared" si="74"/>
        <v>#DIV/0!</v>
      </c>
      <c r="J161" s="354"/>
      <c r="K161" s="354"/>
      <c r="L161" s="35" t="e">
        <f t="shared" si="75"/>
        <v>#DIV/0!</v>
      </c>
      <c r="M161" s="35"/>
      <c r="N161" s="354"/>
      <c r="O161" s="354"/>
      <c r="P161" s="46" t="e">
        <f t="shared" si="76"/>
        <v>#DIV/0!</v>
      </c>
      <c r="Q161" s="46"/>
      <c r="R161" s="46"/>
      <c r="S161" s="354"/>
      <c r="T161" s="331">
        <f t="shared" si="72"/>
        <v>0</v>
      </c>
      <c r="U161" s="335">
        <f t="shared" si="77"/>
        <v>0</v>
      </c>
      <c r="V161" s="335">
        <f t="shared" si="78"/>
        <v>0</v>
      </c>
      <c r="W161" s="335" t="e">
        <f t="shared" si="79"/>
        <v>#DIV/0!</v>
      </c>
    </row>
    <row r="162" spans="1:24" hidden="1" x14ac:dyDescent="0.25">
      <c r="A162" s="353"/>
      <c r="B162" s="250"/>
      <c r="C162" s="334"/>
      <c r="D162" s="354"/>
      <c r="E162" s="354"/>
      <c r="F162" s="35"/>
      <c r="G162" s="354"/>
      <c r="H162" s="355"/>
      <c r="I162" s="35" t="e">
        <f t="shared" si="74"/>
        <v>#DIV/0!</v>
      </c>
      <c r="J162" s="354"/>
      <c r="K162" s="354"/>
      <c r="L162" s="35" t="e">
        <f t="shared" si="75"/>
        <v>#DIV/0!</v>
      </c>
      <c r="M162" s="35"/>
      <c r="N162" s="354"/>
      <c r="O162" s="354"/>
      <c r="P162" s="46" t="e">
        <f t="shared" si="76"/>
        <v>#DIV/0!</v>
      </c>
      <c r="Q162" s="46"/>
      <c r="R162" s="46"/>
      <c r="S162" s="354"/>
      <c r="T162" s="331">
        <f t="shared" si="72"/>
        <v>0</v>
      </c>
      <c r="U162" s="335">
        <f t="shared" si="77"/>
        <v>0</v>
      </c>
      <c r="V162" s="335">
        <f t="shared" si="78"/>
        <v>0</v>
      </c>
      <c r="W162" s="335" t="e">
        <f t="shared" si="79"/>
        <v>#DIV/0!</v>
      </c>
    </row>
    <row r="163" spans="1:24" hidden="1" x14ac:dyDescent="0.25">
      <c r="A163" s="353"/>
      <c r="B163" s="72"/>
      <c r="C163" s="334"/>
      <c r="D163" s="354"/>
      <c r="E163" s="354"/>
      <c r="F163" s="35"/>
      <c r="G163" s="354"/>
      <c r="H163" s="355"/>
      <c r="I163" s="35" t="e">
        <f t="shared" si="74"/>
        <v>#DIV/0!</v>
      </c>
      <c r="J163" s="354"/>
      <c r="K163" s="354"/>
      <c r="L163" s="35" t="e">
        <f t="shared" si="75"/>
        <v>#DIV/0!</v>
      </c>
      <c r="M163" s="35"/>
      <c r="N163" s="354"/>
      <c r="O163" s="354"/>
      <c r="P163" s="46" t="e">
        <f t="shared" si="76"/>
        <v>#DIV/0!</v>
      </c>
      <c r="Q163" s="46"/>
      <c r="R163" s="46"/>
      <c r="S163" s="354"/>
      <c r="T163" s="331">
        <f t="shared" si="72"/>
        <v>0</v>
      </c>
      <c r="U163" s="335">
        <f t="shared" si="77"/>
        <v>0</v>
      </c>
      <c r="V163" s="335">
        <f t="shared" si="78"/>
        <v>0</v>
      </c>
      <c r="W163" s="335" t="e">
        <f t="shared" si="79"/>
        <v>#DIV/0!</v>
      </c>
    </row>
    <row r="164" spans="1:24" hidden="1" x14ac:dyDescent="0.25">
      <c r="A164" s="353"/>
      <c r="B164" s="72"/>
      <c r="C164" s="334"/>
      <c r="D164" s="354"/>
      <c r="E164" s="354"/>
      <c r="F164" s="35"/>
      <c r="G164" s="354"/>
      <c r="H164" s="355"/>
      <c r="I164" s="35" t="e">
        <f t="shared" si="74"/>
        <v>#DIV/0!</v>
      </c>
      <c r="J164" s="354"/>
      <c r="K164" s="354"/>
      <c r="L164" s="35" t="e">
        <f t="shared" si="75"/>
        <v>#DIV/0!</v>
      </c>
      <c r="M164" s="35"/>
      <c r="N164" s="354"/>
      <c r="O164" s="354"/>
      <c r="P164" s="46" t="e">
        <f t="shared" si="76"/>
        <v>#DIV/0!</v>
      </c>
      <c r="Q164" s="46"/>
      <c r="R164" s="46"/>
      <c r="S164" s="356"/>
      <c r="T164" s="331">
        <f t="shared" si="72"/>
        <v>0</v>
      </c>
      <c r="U164" s="335">
        <f t="shared" si="77"/>
        <v>0</v>
      </c>
      <c r="V164" s="335">
        <f t="shared" si="78"/>
        <v>0</v>
      </c>
      <c r="W164" s="335" t="e">
        <f t="shared" si="79"/>
        <v>#DIV/0!</v>
      </c>
    </row>
    <row r="165" spans="1:24" hidden="1" x14ac:dyDescent="0.25">
      <c r="A165" s="353"/>
      <c r="B165" s="72"/>
      <c r="C165" s="334"/>
      <c r="D165" s="354"/>
      <c r="E165" s="354"/>
      <c r="F165" s="35"/>
      <c r="G165" s="40"/>
      <c r="H165" s="357"/>
      <c r="I165" s="35" t="e">
        <f t="shared" si="74"/>
        <v>#DIV/0!</v>
      </c>
      <c r="J165" s="40"/>
      <c r="K165" s="40"/>
      <c r="L165" s="35" t="e">
        <f t="shared" si="75"/>
        <v>#DIV/0!</v>
      </c>
      <c r="M165" s="35"/>
      <c r="N165" s="40"/>
      <c r="O165" s="40"/>
      <c r="P165" s="46" t="e">
        <f t="shared" si="76"/>
        <v>#DIV/0!</v>
      </c>
      <c r="Q165" s="46"/>
      <c r="R165" s="46"/>
      <c r="S165" s="40"/>
      <c r="T165" s="331">
        <f t="shared" si="72"/>
        <v>0</v>
      </c>
      <c r="U165" s="335">
        <f t="shared" si="77"/>
        <v>0</v>
      </c>
      <c r="V165" s="335">
        <f t="shared" si="78"/>
        <v>0</v>
      </c>
      <c r="W165" s="335" t="e">
        <f t="shared" si="79"/>
        <v>#DIV/0!</v>
      </c>
    </row>
    <row r="166" spans="1:24" hidden="1" x14ac:dyDescent="0.25">
      <c r="A166" s="353"/>
      <c r="B166" s="72"/>
      <c r="C166" s="334"/>
      <c r="D166" s="354"/>
      <c r="E166" s="354"/>
      <c r="F166" s="35"/>
      <c r="G166" s="354"/>
      <c r="H166" s="355"/>
      <c r="I166" s="35" t="e">
        <f t="shared" si="74"/>
        <v>#DIV/0!</v>
      </c>
      <c r="J166" s="354"/>
      <c r="K166" s="354"/>
      <c r="L166" s="35" t="e">
        <f t="shared" si="75"/>
        <v>#DIV/0!</v>
      </c>
      <c r="M166" s="35"/>
      <c r="N166" s="354"/>
      <c r="O166" s="354"/>
      <c r="P166" s="46" t="e">
        <f t="shared" si="76"/>
        <v>#DIV/0!</v>
      </c>
      <c r="Q166" s="46"/>
      <c r="R166" s="46"/>
      <c r="S166" s="354"/>
      <c r="T166" s="331">
        <f t="shared" si="72"/>
        <v>0</v>
      </c>
      <c r="U166" s="335">
        <f t="shared" si="77"/>
        <v>0</v>
      </c>
      <c r="V166" s="335">
        <f t="shared" si="78"/>
        <v>0</v>
      </c>
      <c r="W166" s="335" t="e">
        <f t="shared" si="79"/>
        <v>#DIV/0!</v>
      </c>
    </row>
    <row r="167" spans="1:24" hidden="1" x14ac:dyDescent="0.25">
      <c r="A167" s="353"/>
      <c r="B167" s="36"/>
      <c r="C167" s="334"/>
      <c r="D167" s="40"/>
      <c r="E167" s="40"/>
      <c r="F167" s="35"/>
      <c r="G167" s="354"/>
      <c r="H167" s="355"/>
      <c r="I167" s="35" t="e">
        <f t="shared" si="74"/>
        <v>#DIV/0!</v>
      </c>
      <c r="J167" s="40"/>
      <c r="K167" s="40"/>
      <c r="L167" s="35" t="e">
        <f t="shared" si="75"/>
        <v>#DIV/0!</v>
      </c>
      <c r="M167" s="35"/>
      <c r="N167" s="40"/>
      <c r="O167" s="40"/>
      <c r="P167" s="46" t="e">
        <f t="shared" si="76"/>
        <v>#DIV/0!</v>
      </c>
      <c r="Q167" s="46"/>
      <c r="R167" s="46"/>
      <c r="S167" s="40"/>
      <c r="T167" s="331">
        <f t="shared" si="72"/>
        <v>0</v>
      </c>
      <c r="U167" s="335">
        <f t="shared" si="77"/>
        <v>0</v>
      </c>
      <c r="V167" s="335">
        <f t="shared" si="78"/>
        <v>0</v>
      </c>
      <c r="W167" s="335" t="e">
        <f t="shared" si="79"/>
        <v>#DIV/0!</v>
      </c>
    </row>
    <row r="168" spans="1:24" hidden="1" x14ac:dyDescent="0.25">
      <c r="A168" s="353"/>
      <c r="B168" s="36"/>
      <c r="C168" s="334"/>
      <c r="D168" s="40"/>
      <c r="E168" s="40"/>
      <c r="F168" s="35"/>
      <c r="G168" s="40"/>
      <c r="H168" s="357"/>
      <c r="I168" s="35" t="e">
        <f t="shared" si="74"/>
        <v>#DIV/0!</v>
      </c>
      <c r="J168" s="40"/>
      <c r="K168" s="40"/>
      <c r="L168" s="35" t="e">
        <f t="shared" si="75"/>
        <v>#DIV/0!</v>
      </c>
      <c r="M168" s="35"/>
      <c r="N168" s="40"/>
      <c r="O168" s="40"/>
      <c r="P168" s="46" t="e">
        <f t="shared" si="76"/>
        <v>#DIV/0!</v>
      </c>
      <c r="Q168" s="46"/>
      <c r="R168" s="46"/>
      <c r="S168" s="40"/>
      <c r="T168" s="331">
        <f t="shared" si="72"/>
        <v>0</v>
      </c>
      <c r="U168" s="335">
        <f t="shared" si="77"/>
        <v>0</v>
      </c>
      <c r="V168" s="335">
        <f t="shared" si="78"/>
        <v>0</v>
      </c>
      <c r="W168" s="335" t="e">
        <f t="shared" si="79"/>
        <v>#DIV/0!</v>
      </c>
    </row>
    <row r="169" spans="1:24" hidden="1" x14ac:dyDescent="0.25">
      <c r="A169" s="40"/>
      <c r="B169" s="36"/>
      <c r="C169" s="334"/>
      <c r="D169" s="40"/>
      <c r="E169" s="40"/>
      <c r="F169" s="35"/>
      <c r="G169" s="40"/>
      <c r="H169" s="357"/>
      <c r="I169" s="35" t="e">
        <f t="shared" si="74"/>
        <v>#DIV/0!</v>
      </c>
      <c r="J169" s="40"/>
      <c r="K169" s="40"/>
      <c r="L169" s="35" t="e">
        <f t="shared" si="75"/>
        <v>#DIV/0!</v>
      </c>
      <c r="M169" s="35"/>
      <c r="N169" s="40"/>
      <c r="O169" s="40"/>
      <c r="P169" s="46" t="e">
        <f t="shared" si="76"/>
        <v>#DIV/0!</v>
      </c>
      <c r="Q169" s="46"/>
      <c r="R169" s="46"/>
      <c r="S169" s="40"/>
      <c r="T169" s="331">
        <f t="shared" si="72"/>
        <v>0</v>
      </c>
      <c r="U169" s="335">
        <f t="shared" si="77"/>
        <v>0</v>
      </c>
      <c r="V169" s="335">
        <f t="shared" si="78"/>
        <v>0</v>
      </c>
      <c r="W169" s="335" t="e">
        <f t="shared" si="79"/>
        <v>#DIV/0!</v>
      </c>
    </row>
    <row r="170" spans="1:24" hidden="1" x14ac:dyDescent="0.25">
      <c r="A170" s="40"/>
      <c r="B170" s="36"/>
      <c r="C170" s="334"/>
      <c r="D170" s="40"/>
      <c r="E170" s="40"/>
      <c r="F170" s="35"/>
      <c r="G170" s="40"/>
      <c r="H170" s="357"/>
      <c r="I170" s="35" t="e">
        <f t="shared" si="74"/>
        <v>#DIV/0!</v>
      </c>
      <c r="J170" s="40"/>
      <c r="K170" s="40"/>
      <c r="L170" s="35" t="e">
        <f t="shared" si="75"/>
        <v>#DIV/0!</v>
      </c>
      <c r="M170" s="35"/>
      <c r="N170" s="40"/>
      <c r="O170" s="40"/>
      <c r="P170" s="46" t="e">
        <f t="shared" si="76"/>
        <v>#DIV/0!</v>
      </c>
      <c r="Q170" s="46"/>
      <c r="R170" s="46"/>
      <c r="S170" s="358"/>
      <c r="T170" s="331">
        <f t="shared" si="72"/>
        <v>0</v>
      </c>
      <c r="U170" s="335">
        <f t="shared" si="77"/>
        <v>0</v>
      </c>
      <c r="V170" s="335">
        <f t="shared" si="78"/>
        <v>0</v>
      </c>
      <c r="W170" s="335" t="e">
        <f t="shared" si="79"/>
        <v>#DIV/0!</v>
      </c>
    </row>
    <row r="171" spans="1:24" ht="30" hidden="1" x14ac:dyDescent="0.25">
      <c r="A171" s="338" t="s">
        <v>2102</v>
      </c>
      <c r="B171" s="339" t="s">
        <v>2103</v>
      </c>
      <c r="C171" s="334">
        <v>0.1</v>
      </c>
      <c r="D171" s="346"/>
      <c r="E171" s="346"/>
      <c r="F171" s="35"/>
      <c r="G171" s="346">
        <v>1</v>
      </c>
      <c r="H171" s="65">
        <v>0</v>
      </c>
      <c r="I171" s="35">
        <f t="shared" si="74"/>
        <v>0</v>
      </c>
      <c r="J171" s="346"/>
      <c r="K171" s="346"/>
      <c r="L171" s="35"/>
      <c r="M171" s="35"/>
      <c r="N171" s="346"/>
      <c r="O171" s="346"/>
      <c r="P171" s="46"/>
      <c r="Q171" s="46">
        <v>0.53</v>
      </c>
      <c r="R171" s="46"/>
      <c r="S171" s="346"/>
      <c r="T171" s="331">
        <f t="shared" si="72"/>
        <v>1</v>
      </c>
      <c r="U171" s="335">
        <f t="shared" si="77"/>
        <v>1</v>
      </c>
      <c r="V171" s="335">
        <f t="shared" si="78"/>
        <v>0.53</v>
      </c>
      <c r="W171" s="335">
        <f t="shared" si="79"/>
        <v>0.53</v>
      </c>
      <c r="X171" s="325" t="s">
        <v>2104</v>
      </c>
    </row>
    <row r="172" spans="1:24" hidden="1" x14ac:dyDescent="0.25">
      <c r="A172" s="338" t="s">
        <v>2105</v>
      </c>
      <c r="B172" s="64" t="s">
        <v>2106</v>
      </c>
      <c r="C172" s="334">
        <v>0.1</v>
      </c>
      <c r="D172" s="346"/>
      <c r="E172" s="346"/>
      <c r="F172" s="35"/>
      <c r="G172" s="346">
        <v>1</v>
      </c>
      <c r="H172" s="65">
        <v>0</v>
      </c>
      <c r="I172" s="35">
        <f t="shared" si="74"/>
        <v>0</v>
      </c>
      <c r="J172" s="346"/>
      <c r="K172" s="346"/>
      <c r="L172" s="35"/>
      <c r="M172" s="35"/>
      <c r="N172" s="346"/>
      <c r="O172" s="346"/>
      <c r="P172" s="46"/>
      <c r="Q172" s="46">
        <v>0.35</v>
      </c>
      <c r="R172" s="46"/>
      <c r="S172" s="346"/>
      <c r="T172" s="331">
        <f t="shared" si="72"/>
        <v>1</v>
      </c>
      <c r="U172" s="335">
        <f t="shared" si="77"/>
        <v>1</v>
      </c>
      <c r="V172" s="335">
        <f t="shared" si="78"/>
        <v>0.35</v>
      </c>
      <c r="W172" s="335">
        <f t="shared" si="79"/>
        <v>0.35</v>
      </c>
      <c r="X172" s="325" t="s">
        <v>2107</v>
      </c>
    </row>
    <row r="173" spans="1:24" ht="30" hidden="1" x14ac:dyDescent="0.25">
      <c r="A173" s="338" t="s">
        <v>2108</v>
      </c>
      <c r="B173" s="64" t="s">
        <v>2109</v>
      </c>
      <c r="C173" s="334">
        <v>0.05</v>
      </c>
      <c r="D173" s="346">
        <v>1</v>
      </c>
      <c r="E173" s="346">
        <v>1</v>
      </c>
      <c r="F173" s="35">
        <f t="shared" si="73"/>
        <v>1</v>
      </c>
      <c r="G173" s="346"/>
      <c r="H173" s="65"/>
      <c r="I173" s="35"/>
      <c r="J173" s="346"/>
      <c r="K173" s="346"/>
      <c r="L173" s="35"/>
      <c r="M173" s="35"/>
      <c r="N173" s="346"/>
      <c r="O173" s="346"/>
      <c r="P173" s="46"/>
      <c r="Q173" s="46"/>
      <c r="R173" s="46"/>
      <c r="S173" s="346"/>
      <c r="T173" s="331">
        <f t="shared" si="72"/>
        <v>1</v>
      </c>
      <c r="U173" s="335">
        <f t="shared" si="77"/>
        <v>1</v>
      </c>
      <c r="V173" s="335">
        <f t="shared" si="78"/>
        <v>1</v>
      </c>
      <c r="W173" s="335">
        <f t="shared" si="79"/>
        <v>1</v>
      </c>
    </row>
    <row r="174" spans="1:24" ht="30" hidden="1" x14ac:dyDescent="0.25">
      <c r="A174" s="338" t="s">
        <v>2110</v>
      </c>
      <c r="B174" s="64" t="s">
        <v>2111</v>
      </c>
      <c r="C174" s="334">
        <v>0.1</v>
      </c>
      <c r="D174" s="346"/>
      <c r="E174" s="346"/>
      <c r="F174" s="35"/>
      <c r="G174" s="346"/>
      <c r="H174" s="65"/>
      <c r="I174" s="35"/>
      <c r="J174" s="346"/>
      <c r="K174" s="346"/>
      <c r="L174" s="35"/>
      <c r="M174" s="35"/>
      <c r="N174" s="65"/>
      <c r="O174" s="65"/>
      <c r="P174" s="46"/>
      <c r="Q174" s="46"/>
      <c r="R174" s="46"/>
      <c r="S174" s="347">
        <v>1</v>
      </c>
      <c r="T174" s="331">
        <f t="shared" si="72"/>
        <v>1</v>
      </c>
      <c r="U174" s="335">
        <f t="shared" si="77"/>
        <v>0</v>
      </c>
      <c r="V174" s="335">
        <f t="shared" si="78"/>
        <v>0</v>
      </c>
      <c r="W174" s="335"/>
    </row>
    <row r="175" spans="1:24" hidden="1" x14ac:dyDescent="0.25">
      <c r="A175" s="338" t="s">
        <v>2112</v>
      </c>
      <c r="B175" s="64" t="s">
        <v>2113</v>
      </c>
      <c r="C175" s="334">
        <v>0.1</v>
      </c>
      <c r="D175" s="346"/>
      <c r="E175" s="346"/>
      <c r="F175" s="35"/>
      <c r="G175" s="346"/>
      <c r="H175" s="65"/>
      <c r="I175" s="35"/>
      <c r="J175" s="346">
        <v>1</v>
      </c>
      <c r="K175" s="346">
        <v>1</v>
      </c>
      <c r="L175" s="35">
        <f t="shared" si="75"/>
        <v>1</v>
      </c>
      <c r="M175" s="35"/>
      <c r="N175" s="346"/>
      <c r="O175" s="346"/>
      <c r="P175" s="46"/>
      <c r="Q175" s="46"/>
      <c r="R175" s="46"/>
      <c r="S175" s="346"/>
      <c r="T175" s="331">
        <f t="shared" si="72"/>
        <v>1</v>
      </c>
      <c r="U175" s="335">
        <f t="shared" si="77"/>
        <v>1</v>
      </c>
      <c r="V175" s="335">
        <f t="shared" si="78"/>
        <v>1</v>
      </c>
      <c r="W175" s="335">
        <f t="shared" si="79"/>
        <v>1</v>
      </c>
    </row>
    <row r="176" spans="1:24" ht="30" x14ac:dyDescent="0.25">
      <c r="A176" s="338" t="s">
        <v>2114</v>
      </c>
      <c r="B176" s="64" t="s">
        <v>2115</v>
      </c>
      <c r="C176" s="334">
        <v>0.05</v>
      </c>
      <c r="D176" s="346"/>
      <c r="E176" s="346"/>
      <c r="F176" s="35"/>
      <c r="G176" s="65">
        <v>0.25</v>
      </c>
      <c r="H176" s="65">
        <v>0.25</v>
      </c>
      <c r="I176" s="35">
        <f t="shared" si="74"/>
        <v>1</v>
      </c>
      <c r="J176" s="65">
        <v>0.25</v>
      </c>
      <c r="K176" s="65">
        <v>0.25</v>
      </c>
      <c r="L176" s="35">
        <f t="shared" si="75"/>
        <v>1</v>
      </c>
      <c r="M176" s="35"/>
      <c r="N176" s="65">
        <v>0.25</v>
      </c>
      <c r="O176" s="65">
        <v>0.25</v>
      </c>
      <c r="P176" s="46">
        <f t="shared" si="76"/>
        <v>1</v>
      </c>
      <c r="Q176" s="46"/>
      <c r="R176" s="46"/>
      <c r="S176" s="65">
        <v>0.25</v>
      </c>
      <c r="T176" s="331">
        <f t="shared" si="72"/>
        <v>1</v>
      </c>
      <c r="U176" s="335">
        <f t="shared" si="77"/>
        <v>0.75</v>
      </c>
      <c r="V176" s="335">
        <f t="shared" si="78"/>
        <v>0.75</v>
      </c>
      <c r="W176" s="335">
        <f t="shared" si="79"/>
        <v>1</v>
      </c>
    </row>
    <row r="177" spans="1:24" ht="30" hidden="1" x14ac:dyDescent="0.25">
      <c r="A177" s="338" t="s">
        <v>2116</v>
      </c>
      <c r="B177" s="64" t="s">
        <v>2117</v>
      </c>
      <c r="C177" s="334">
        <v>0.05</v>
      </c>
      <c r="D177" s="346"/>
      <c r="E177" s="346"/>
      <c r="F177" s="35"/>
      <c r="G177" s="346"/>
      <c r="H177" s="65"/>
      <c r="I177" s="107"/>
      <c r="J177" s="346">
        <v>0.4</v>
      </c>
      <c r="K177" s="346">
        <f>40%*25%</f>
        <v>0.1</v>
      </c>
      <c r="L177" s="35">
        <f t="shared" si="75"/>
        <v>0.25</v>
      </c>
      <c r="M177" s="35"/>
      <c r="N177" s="346"/>
      <c r="O177" s="346"/>
      <c r="P177" s="46"/>
      <c r="Q177" s="46"/>
      <c r="R177" s="46"/>
      <c r="S177" s="347">
        <v>0.6</v>
      </c>
      <c r="T177" s="331">
        <f t="shared" si="72"/>
        <v>1</v>
      </c>
      <c r="U177" s="335">
        <f t="shared" si="77"/>
        <v>0.4</v>
      </c>
      <c r="V177" s="335">
        <f t="shared" si="78"/>
        <v>0.1</v>
      </c>
      <c r="W177" s="335">
        <f t="shared" si="79"/>
        <v>0.25</v>
      </c>
      <c r="X177" s="325" t="s">
        <v>2118</v>
      </c>
    </row>
    <row r="178" spans="1:24" hidden="1" x14ac:dyDescent="0.25">
      <c r="A178" s="338"/>
      <c r="B178" s="64"/>
      <c r="C178" s="334"/>
      <c r="D178" s="338"/>
      <c r="E178" s="338"/>
      <c r="F178" s="338"/>
      <c r="G178" s="338"/>
      <c r="H178" s="83"/>
      <c r="I178" s="107"/>
      <c r="J178" s="338"/>
      <c r="K178" s="338"/>
      <c r="L178" s="338"/>
      <c r="M178" s="338"/>
      <c r="N178" s="338"/>
      <c r="O178" s="338"/>
      <c r="P178" s="338"/>
      <c r="Q178" s="338"/>
      <c r="R178" s="338"/>
      <c r="S178" s="359"/>
      <c r="T178" s="360"/>
      <c r="U178" s="361"/>
      <c r="V178" s="361"/>
      <c r="W178" s="361"/>
    </row>
    <row r="179" spans="1:24" hidden="1" x14ac:dyDescent="0.25">
      <c r="A179" s="338"/>
      <c r="B179" s="64"/>
      <c r="C179" s="334"/>
      <c r="D179" s="338"/>
      <c r="E179" s="338"/>
      <c r="F179" s="338"/>
      <c r="G179" s="338"/>
      <c r="H179" s="83"/>
      <c r="I179" s="107"/>
      <c r="J179" s="338"/>
      <c r="K179" s="338"/>
      <c r="L179" s="338"/>
      <c r="M179" s="338"/>
      <c r="N179" s="338"/>
      <c r="O179" s="338"/>
      <c r="P179" s="338"/>
      <c r="Q179" s="338"/>
      <c r="R179" s="338"/>
      <c r="S179" s="359"/>
      <c r="T179" s="360"/>
      <c r="U179" s="361"/>
      <c r="V179" s="361"/>
      <c r="W179" s="361"/>
    </row>
    <row r="180" spans="1:24" x14ac:dyDescent="0.25">
      <c r="A180" s="40"/>
      <c r="B180" s="36" t="s">
        <v>1896</v>
      </c>
      <c r="C180" s="334">
        <f>SUM(C150:C177)</f>
        <v>1</v>
      </c>
      <c r="D180" s="543"/>
      <c r="E180" s="543"/>
      <c r="F180" s="543"/>
      <c r="G180" s="543"/>
      <c r="H180" s="543"/>
      <c r="I180" s="543"/>
      <c r="J180" s="543"/>
      <c r="K180" s="543"/>
      <c r="L180" s="543"/>
      <c r="M180" s="543"/>
      <c r="N180" s="543"/>
      <c r="O180" s="543"/>
      <c r="P180" s="543"/>
      <c r="Q180" s="543"/>
      <c r="R180" s="543"/>
      <c r="S180" s="543"/>
      <c r="T180" s="543"/>
      <c r="U180" s="362"/>
      <c r="V180" s="362"/>
      <c r="W180" s="362"/>
    </row>
    <row r="181" spans="1:24" x14ac:dyDescent="0.25">
      <c r="A181" s="531" t="s">
        <v>1908</v>
      </c>
      <c r="B181" s="532"/>
      <c r="C181" s="334"/>
      <c r="D181" s="331">
        <f>+D150*$C$150+D151*$C$151+D152*$C$152+D153*$C$153+D154*$C$154+D155*$C$155+D156*$C$156+D157*$C$157+D158*$C$158+D159*$C$159+D160*$C$160+D171*$C$171+D172*$C$172+D173*$C$173+D174*$C$174+D175*$C$175+D176*$C$176+D177*$C$177</f>
        <v>0.16500000000000001</v>
      </c>
      <c r="E181" s="331">
        <f t="shared" ref="E181" si="81">+E150*$C$150+E151*$C$151+E152*$C$152+E153*$C$153+E154*$C$154+E155*$C$155+E156*$C$156+E157*$C$157+E158*$C$158+E159*$C$159+E160*$C$160+E171*$C$171+E172*$C$172+E173*$C$173+E174*$C$174+E175*$C$175+E176*$C$176+E177*$C$177</f>
        <v>0.16500000000000001</v>
      </c>
      <c r="F181" s="331">
        <f t="shared" ref="F181" si="82">+E181/D181</f>
        <v>1</v>
      </c>
      <c r="G181" s="331">
        <f t="shared" ref="G181:S181" si="83">+G150*$C$150+G151*$C$151+G152*$C$152+G153*$C$153+G154*$C$154+G155*$C$155+G156*$C$156+G157*$C$157+G158*$C$158+G159*$C$159+G160*$C$160+G171*$C$171+G172*$C$172+G173*$C$173+G174*$C$174+G175*$C$175+G176*$C$176+G177*$C$177</f>
        <v>0.31500000000000006</v>
      </c>
      <c r="H181" s="331">
        <f t="shared" si="83"/>
        <v>0.11500000000000003</v>
      </c>
      <c r="I181" s="331">
        <f>+H181/G181</f>
        <v>0.36507936507936511</v>
      </c>
      <c r="J181" s="331">
        <f t="shared" si="83"/>
        <v>0.21000000000000002</v>
      </c>
      <c r="K181" s="331">
        <f>+K150*$C$150+K151*$C$151+K152*$C$152+K153*$C$153+K154*$C$154+K155*$C$155+K156*$C$156+K157*$C$157+K158*$C$158+K159*$C$159+K160*$C$160+K171*$C$171+K172*$C$172+K173*$C$173+K174*$C$174+K175*$C$175+K176*$C$176+K177*$C$177</f>
        <v>0.18000000000000002</v>
      </c>
      <c r="L181" s="331">
        <f>+K181/J181</f>
        <v>0.85714285714285721</v>
      </c>
      <c r="M181" s="331">
        <f>+M150*$C$150+M151*$C$151+M152*$C$152+M153*$C$153+M154*$C$154+M155*$C$155+M156*$C$156+M157*$C$157+M158*$C$158+M159*$C$159+M160*$C$160+M171*$C$171+M172*$C$172+M173*$C$173+M174*$C$174+M175*$C$175+M176*$C$176+M177*$C$177</f>
        <v>0</v>
      </c>
      <c r="N181" s="331">
        <f t="shared" si="83"/>
        <v>9.0000000000000011E-2</v>
      </c>
      <c r="O181" s="331">
        <f t="shared" si="83"/>
        <v>9.0499999999999997E-2</v>
      </c>
      <c r="P181" s="331">
        <f>+O181/N181</f>
        <v>1.0055555555555553</v>
      </c>
      <c r="Q181" s="331">
        <f t="shared" si="83"/>
        <v>8.7999999999999995E-2</v>
      </c>
      <c r="R181" s="331">
        <f t="shared" si="83"/>
        <v>0</v>
      </c>
      <c r="S181" s="331">
        <f t="shared" si="83"/>
        <v>0.22000000000000003</v>
      </c>
      <c r="T181" s="331">
        <f>+D181+G181+J181+N181+S181</f>
        <v>1.0000000000000002</v>
      </c>
      <c r="U181" s="335">
        <f>+D181+G181+J181</f>
        <v>0.69000000000000017</v>
      </c>
      <c r="V181" s="335">
        <f>+E181+H181+K181</f>
        <v>0.46000000000000008</v>
      </c>
      <c r="W181" s="335">
        <f t="shared" ref="W181" si="84">+V181/U181</f>
        <v>0.66666666666666663</v>
      </c>
    </row>
    <row r="182" spans="1:24" x14ac:dyDescent="0.25">
      <c r="B182" s="325"/>
      <c r="H182" s="363"/>
    </row>
    <row r="183" spans="1:24" x14ac:dyDescent="0.25">
      <c r="B183" s="325"/>
      <c r="H183" s="137"/>
    </row>
    <row r="184" spans="1:24" ht="18.75" x14ac:dyDescent="0.3">
      <c r="A184" s="535" t="s">
        <v>1</v>
      </c>
      <c r="B184" s="535"/>
      <c r="C184" s="535"/>
      <c r="D184" s="535"/>
      <c r="E184" s="535"/>
      <c r="F184" s="535"/>
      <c r="G184" s="535"/>
      <c r="H184" s="535"/>
      <c r="I184" s="535"/>
      <c r="J184" s="535"/>
      <c r="K184" s="535"/>
      <c r="L184" s="535"/>
      <c r="M184" s="535"/>
      <c r="N184" s="535"/>
      <c r="O184" s="535"/>
      <c r="P184" s="535"/>
      <c r="Q184" s="535"/>
      <c r="R184" s="535"/>
      <c r="S184" s="535"/>
      <c r="T184" s="535"/>
      <c r="U184" s="324"/>
      <c r="V184" s="324"/>
      <c r="W184" s="324"/>
    </row>
    <row r="185" spans="1:24" ht="18.75" x14ac:dyDescent="0.3">
      <c r="A185" s="535" t="s">
        <v>1884</v>
      </c>
      <c r="B185" s="535"/>
      <c r="C185" s="535"/>
      <c r="D185" s="535"/>
      <c r="E185" s="535"/>
      <c r="F185" s="535"/>
      <c r="G185" s="535"/>
      <c r="H185" s="535"/>
      <c r="I185" s="535"/>
      <c r="J185" s="535"/>
      <c r="K185" s="535"/>
      <c r="L185" s="535"/>
      <c r="M185" s="535"/>
      <c r="N185" s="535"/>
      <c r="O185" s="535"/>
      <c r="P185" s="535"/>
      <c r="Q185" s="535"/>
      <c r="R185" s="535"/>
      <c r="S185" s="535"/>
      <c r="T185" s="535"/>
      <c r="U185" s="324"/>
      <c r="V185" s="324"/>
      <c r="W185" s="324"/>
    </row>
    <row r="186" spans="1:24" ht="18.75" x14ac:dyDescent="0.3">
      <c r="A186" s="535" t="s">
        <v>1885</v>
      </c>
      <c r="B186" s="535"/>
      <c r="C186" s="535"/>
      <c r="D186" s="535"/>
      <c r="E186" s="535"/>
      <c r="F186" s="535"/>
      <c r="G186" s="535"/>
      <c r="H186" s="535"/>
      <c r="I186" s="535"/>
      <c r="J186" s="535"/>
      <c r="K186" s="535"/>
      <c r="L186" s="535"/>
      <c r="M186" s="535"/>
      <c r="N186" s="535"/>
      <c r="O186" s="535"/>
      <c r="P186" s="535"/>
      <c r="Q186" s="535"/>
      <c r="R186" s="535"/>
      <c r="S186" s="535"/>
      <c r="T186" s="535"/>
      <c r="U186" s="324"/>
      <c r="V186" s="324"/>
      <c r="W186" s="324"/>
    </row>
    <row r="187" spans="1:24" ht="18.75" x14ac:dyDescent="0.3">
      <c r="A187" s="535" t="s">
        <v>2119</v>
      </c>
      <c r="B187" s="535"/>
      <c r="C187" s="535"/>
      <c r="D187" s="535"/>
      <c r="E187" s="535"/>
      <c r="F187" s="535"/>
      <c r="G187" s="535"/>
      <c r="H187" s="535"/>
      <c r="I187" s="535"/>
      <c r="J187" s="535"/>
      <c r="K187" s="535"/>
      <c r="L187" s="535"/>
      <c r="M187" s="535"/>
      <c r="N187" s="535"/>
      <c r="O187" s="535"/>
      <c r="P187" s="535"/>
      <c r="Q187" s="535"/>
      <c r="R187" s="535"/>
      <c r="S187" s="535"/>
      <c r="T187" s="535"/>
      <c r="U187" s="324"/>
      <c r="V187" s="324"/>
      <c r="W187" s="324"/>
    </row>
    <row r="188" spans="1:24" ht="18.75" x14ac:dyDescent="0.3">
      <c r="A188" s="535" t="s">
        <v>2224</v>
      </c>
      <c r="B188" s="535"/>
      <c r="C188" s="535"/>
      <c r="D188" s="535"/>
      <c r="E188" s="535"/>
      <c r="F188" s="535"/>
      <c r="G188" s="535"/>
      <c r="H188" s="535"/>
      <c r="I188" s="535"/>
      <c r="J188" s="535"/>
      <c r="K188" s="535"/>
      <c r="L188" s="535"/>
      <c r="M188" s="535"/>
      <c r="N188" s="535"/>
      <c r="O188" s="535"/>
      <c r="P188" s="535"/>
      <c r="Q188" s="535"/>
      <c r="R188" s="535"/>
      <c r="S188" s="535"/>
      <c r="T188" s="535"/>
      <c r="U188" s="324"/>
      <c r="V188" s="324"/>
      <c r="W188" s="324"/>
    </row>
    <row r="189" spans="1:24" x14ac:dyDescent="0.25">
      <c r="B189" s="325"/>
      <c r="H189" s="137"/>
      <c r="J189" s="364"/>
      <c r="K189" s="364"/>
      <c r="L189" s="364"/>
      <c r="M189" s="364"/>
      <c r="N189" s="364"/>
      <c r="O189" s="364"/>
      <c r="P189" s="364"/>
      <c r="Q189" s="364"/>
      <c r="R189" s="364"/>
    </row>
    <row r="190" spans="1:24" x14ac:dyDescent="0.25">
      <c r="A190" s="537" t="s">
        <v>1910</v>
      </c>
      <c r="B190" s="537" t="s">
        <v>1911</v>
      </c>
      <c r="C190" s="537" t="s">
        <v>1888</v>
      </c>
      <c r="D190" s="531" t="s">
        <v>1912</v>
      </c>
      <c r="E190" s="539"/>
      <c r="F190" s="539"/>
      <c r="G190" s="539"/>
      <c r="H190" s="539"/>
      <c r="I190" s="539"/>
      <c r="J190" s="539"/>
      <c r="K190" s="539"/>
      <c r="L190" s="539"/>
      <c r="M190" s="539"/>
      <c r="N190" s="539"/>
      <c r="O190" s="539"/>
      <c r="P190" s="539"/>
      <c r="Q190" s="539"/>
      <c r="R190" s="539"/>
      <c r="S190" s="539"/>
      <c r="T190" s="532"/>
      <c r="U190" s="534" t="s">
        <v>1890</v>
      </c>
      <c r="V190" s="534"/>
      <c r="W190" s="534"/>
    </row>
    <row r="191" spans="1:24" ht="45" x14ac:dyDescent="0.25">
      <c r="A191" s="538" t="s">
        <v>1910</v>
      </c>
      <c r="B191" s="538"/>
      <c r="C191" s="538" t="s">
        <v>1888</v>
      </c>
      <c r="D191" s="326">
        <v>2012</v>
      </c>
      <c r="E191" s="326" t="s">
        <v>1891</v>
      </c>
      <c r="F191" s="326" t="s">
        <v>1892</v>
      </c>
      <c r="G191" s="326">
        <v>2013</v>
      </c>
      <c r="H191" s="326" t="s">
        <v>1891</v>
      </c>
      <c r="I191" s="326" t="s">
        <v>1892</v>
      </c>
      <c r="J191" s="326">
        <v>2014</v>
      </c>
      <c r="K191" s="326" t="s">
        <v>1891</v>
      </c>
      <c r="L191" s="326" t="s">
        <v>1892</v>
      </c>
      <c r="M191" s="326"/>
      <c r="N191" s="326">
        <v>2015</v>
      </c>
      <c r="O191" s="326" t="s">
        <v>1891</v>
      </c>
      <c r="P191" s="326" t="s">
        <v>1892</v>
      </c>
      <c r="Q191" s="327" t="s">
        <v>1894</v>
      </c>
      <c r="R191" s="327" t="s">
        <v>1895</v>
      </c>
      <c r="S191" s="326">
        <v>2016</v>
      </c>
      <c r="T191" s="326" t="s">
        <v>1896</v>
      </c>
      <c r="U191" s="328" t="s">
        <v>1897</v>
      </c>
      <c r="V191" s="328" t="s">
        <v>1898</v>
      </c>
      <c r="W191" s="328" t="s">
        <v>1899</v>
      </c>
    </row>
    <row r="192" spans="1:24" ht="30" x14ac:dyDescent="0.25">
      <c r="A192" s="42" t="s">
        <v>2120</v>
      </c>
      <c r="B192" s="36" t="s">
        <v>2121</v>
      </c>
      <c r="C192" s="334">
        <v>0.5</v>
      </c>
      <c r="D192" s="35">
        <f>20%*30%+20%*30%+20%*30%+20%*10%</f>
        <v>0.2</v>
      </c>
      <c r="E192" s="35">
        <v>0.2</v>
      </c>
      <c r="F192" s="35">
        <f t="shared" ref="F192:F193" si="85">+E192/D192</f>
        <v>1</v>
      </c>
      <c r="G192" s="35">
        <f>20%*30%+20%*30%+20%*30%+20%*10%</f>
        <v>0.2</v>
      </c>
      <c r="H192" s="35">
        <f>20%*30%+20%*30%+20%*30%+20%*10%</f>
        <v>0.2</v>
      </c>
      <c r="I192" s="35">
        <f t="shared" ref="I192:I193" si="86">+H192/G192</f>
        <v>1</v>
      </c>
      <c r="J192" s="35">
        <f>20%*30%+20%*30%+20%*30%+20%*10%</f>
        <v>0.2</v>
      </c>
      <c r="K192" s="35">
        <f>20%*30%+20%*30%+20%*30%+20%*10%</f>
        <v>0.2</v>
      </c>
      <c r="L192" s="35">
        <f t="shared" ref="L192:L193" si="87">+K192/J192</f>
        <v>1</v>
      </c>
      <c r="M192" s="35"/>
      <c r="N192" s="35">
        <f>20%*30%+20%*30%+20%*30%+20%*10%</f>
        <v>0.2</v>
      </c>
      <c r="O192" s="35">
        <v>0.2</v>
      </c>
      <c r="P192" s="46">
        <f t="shared" ref="P192:P194" si="88">+O192/N192</f>
        <v>1</v>
      </c>
      <c r="Q192" s="46"/>
      <c r="R192" s="46"/>
      <c r="S192" s="35">
        <f>20%*30%+20%*30%+20%*30%+20%*10%</f>
        <v>0.2</v>
      </c>
      <c r="T192" s="331">
        <f t="shared" ref="T192:T208" si="89">+D192+G192+J192+N192+S192</f>
        <v>1</v>
      </c>
      <c r="U192" s="335">
        <f t="shared" ref="U192:U194" si="90">+D192+G192+J192+N192</f>
        <v>0.8</v>
      </c>
      <c r="V192" s="335">
        <f t="shared" ref="V192:V194" si="91">+E192+H192+K192+M192+O192+Q192+R192</f>
        <v>0.8</v>
      </c>
      <c r="W192" s="335">
        <f t="shared" ref="W192:W194" si="92">+V192/U192</f>
        <v>1</v>
      </c>
    </row>
    <row r="193" spans="1:23" hidden="1" x14ac:dyDescent="0.25">
      <c r="A193" s="42" t="s">
        <v>2122</v>
      </c>
      <c r="B193" s="36" t="s">
        <v>2123</v>
      </c>
      <c r="C193" s="334">
        <v>0.25</v>
      </c>
      <c r="D193" s="35">
        <v>0.5</v>
      </c>
      <c r="E193" s="35">
        <f>50%*40%</f>
        <v>0.2</v>
      </c>
      <c r="F193" s="35">
        <f t="shared" si="85"/>
        <v>0.4</v>
      </c>
      <c r="G193" s="35">
        <v>0.25</v>
      </c>
      <c r="H193" s="107">
        <f>25%*65%</f>
        <v>0.16250000000000001</v>
      </c>
      <c r="I193" s="35">
        <f t="shared" si="86"/>
        <v>0.65</v>
      </c>
      <c r="J193" s="35">
        <v>0.25</v>
      </c>
      <c r="K193" s="35">
        <f>25%</f>
        <v>0.25</v>
      </c>
      <c r="L193" s="35">
        <f t="shared" si="87"/>
        <v>1</v>
      </c>
      <c r="M193" s="35">
        <v>0.09</v>
      </c>
      <c r="N193" s="35"/>
      <c r="O193" s="35"/>
      <c r="P193" s="46"/>
      <c r="Q193" s="46"/>
      <c r="R193" s="46"/>
      <c r="S193" s="35"/>
      <c r="T193" s="331">
        <f t="shared" si="89"/>
        <v>1</v>
      </c>
      <c r="U193" s="335">
        <f t="shared" si="90"/>
        <v>1</v>
      </c>
      <c r="V193" s="335">
        <f t="shared" si="91"/>
        <v>0.70250000000000001</v>
      </c>
      <c r="W193" s="335">
        <f t="shared" si="92"/>
        <v>0.70250000000000001</v>
      </c>
    </row>
    <row r="194" spans="1:23" x14ac:dyDescent="0.25">
      <c r="A194" s="42" t="s">
        <v>2124</v>
      </c>
      <c r="B194" s="36" t="s">
        <v>2125</v>
      </c>
      <c r="C194" s="334">
        <v>0.25</v>
      </c>
      <c r="D194" s="35"/>
      <c r="E194" s="35"/>
      <c r="F194" s="35"/>
      <c r="G194" s="35"/>
      <c r="H194" s="107"/>
      <c r="I194" s="35"/>
      <c r="J194" s="35"/>
      <c r="K194" s="35"/>
      <c r="L194" s="35"/>
      <c r="M194" s="35"/>
      <c r="N194" s="35">
        <v>0.5</v>
      </c>
      <c r="O194" s="35">
        <v>0.5</v>
      </c>
      <c r="P194" s="46">
        <f t="shared" si="88"/>
        <v>1</v>
      </c>
      <c r="Q194" s="46"/>
      <c r="R194" s="46"/>
      <c r="S194" s="35">
        <v>0.5</v>
      </c>
      <c r="T194" s="331">
        <f t="shared" si="89"/>
        <v>1</v>
      </c>
      <c r="U194" s="335">
        <f t="shared" si="90"/>
        <v>0.5</v>
      </c>
      <c r="V194" s="335">
        <f t="shared" si="91"/>
        <v>0.5</v>
      </c>
      <c r="W194" s="335">
        <f t="shared" si="92"/>
        <v>1</v>
      </c>
    </row>
    <row r="195" spans="1:23" hidden="1" x14ac:dyDescent="0.25">
      <c r="A195" s="42"/>
      <c r="B195" s="36"/>
      <c r="C195" s="334"/>
      <c r="D195" s="35"/>
      <c r="E195" s="35"/>
      <c r="F195" s="35"/>
      <c r="G195" s="35"/>
      <c r="H195" s="352"/>
      <c r="I195" s="35"/>
      <c r="J195" s="35"/>
      <c r="K195" s="35"/>
      <c r="L195" s="35"/>
      <c r="M195" s="35"/>
      <c r="N195" s="35"/>
      <c r="O195" s="35"/>
      <c r="P195" s="35"/>
      <c r="Q195" s="35"/>
      <c r="R195" s="35"/>
      <c r="S195" s="35"/>
      <c r="T195" s="331">
        <f t="shared" si="89"/>
        <v>0</v>
      </c>
      <c r="U195" s="365"/>
      <c r="V195" s="365"/>
      <c r="W195" s="365"/>
    </row>
    <row r="196" spans="1:23" hidden="1" x14ac:dyDescent="0.25">
      <c r="A196" s="42"/>
      <c r="B196" s="36"/>
      <c r="C196" s="334"/>
      <c r="D196" s="35"/>
      <c r="E196" s="35"/>
      <c r="F196" s="35"/>
      <c r="G196" s="35"/>
      <c r="H196" s="352"/>
      <c r="I196" s="35"/>
      <c r="J196" s="35"/>
      <c r="K196" s="35"/>
      <c r="L196" s="35"/>
      <c r="M196" s="35"/>
      <c r="N196" s="35"/>
      <c r="O196" s="35"/>
      <c r="P196" s="35"/>
      <c r="Q196" s="35"/>
      <c r="R196" s="35"/>
      <c r="S196" s="35"/>
      <c r="T196" s="331">
        <f t="shared" si="89"/>
        <v>0</v>
      </c>
      <c r="U196" s="365"/>
      <c r="V196" s="365"/>
      <c r="W196" s="365"/>
    </row>
    <row r="197" spans="1:23" hidden="1" x14ac:dyDescent="0.25">
      <c r="A197" s="42"/>
      <c r="B197" s="36"/>
      <c r="C197" s="334"/>
      <c r="D197" s="35"/>
      <c r="E197" s="35"/>
      <c r="F197" s="35"/>
      <c r="G197" s="35"/>
      <c r="H197" s="352"/>
      <c r="I197" s="35"/>
      <c r="J197" s="35"/>
      <c r="K197" s="35"/>
      <c r="L197" s="35"/>
      <c r="M197" s="35"/>
      <c r="N197" s="35"/>
      <c r="O197" s="35"/>
      <c r="P197" s="35"/>
      <c r="Q197" s="35"/>
      <c r="R197" s="35"/>
      <c r="S197" s="35"/>
      <c r="T197" s="331">
        <f t="shared" si="89"/>
        <v>0</v>
      </c>
      <c r="U197" s="365"/>
      <c r="V197" s="365"/>
      <c r="W197" s="365"/>
    </row>
    <row r="198" spans="1:23" hidden="1" x14ac:dyDescent="0.25">
      <c r="A198" s="42"/>
      <c r="B198" s="36"/>
      <c r="C198" s="334"/>
      <c r="D198" s="35"/>
      <c r="E198" s="35"/>
      <c r="F198" s="35"/>
      <c r="G198" s="35"/>
      <c r="H198" s="352"/>
      <c r="I198" s="35"/>
      <c r="J198" s="35"/>
      <c r="K198" s="35"/>
      <c r="L198" s="35"/>
      <c r="M198" s="35"/>
      <c r="N198" s="35"/>
      <c r="O198" s="35"/>
      <c r="P198" s="35"/>
      <c r="Q198" s="35"/>
      <c r="R198" s="35"/>
      <c r="S198" s="35"/>
      <c r="T198" s="331">
        <f t="shared" si="89"/>
        <v>0</v>
      </c>
      <c r="U198" s="365"/>
      <c r="V198" s="365"/>
      <c r="W198" s="365"/>
    </row>
    <row r="199" spans="1:23" hidden="1" x14ac:dyDescent="0.25">
      <c r="A199" s="42"/>
      <c r="B199" s="36"/>
      <c r="C199" s="334"/>
      <c r="D199" s="35"/>
      <c r="E199" s="35"/>
      <c r="F199" s="35"/>
      <c r="G199" s="35"/>
      <c r="H199" s="352"/>
      <c r="I199" s="35"/>
      <c r="J199" s="35"/>
      <c r="K199" s="35"/>
      <c r="L199" s="35"/>
      <c r="M199" s="35"/>
      <c r="N199" s="35"/>
      <c r="O199" s="35"/>
      <c r="P199" s="35"/>
      <c r="Q199" s="35"/>
      <c r="R199" s="35"/>
      <c r="S199" s="35"/>
      <c r="T199" s="331">
        <f t="shared" si="89"/>
        <v>0</v>
      </c>
      <c r="U199" s="365"/>
      <c r="V199" s="365"/>
      <c r="W199" s="365"/>
    </row>
    <row r="200" spans="1:23" hidden="1" x14ac:dyDescent="0.25">
      <c r="A200" s="42"/>
      <c r="B200" s="36"/>
      <c r="C200" s="334"/>
      <c r="D200" s="35"/>
      <c r="E200" s="35"/>
      <c r="F200" s="35"/>
      <c r="G200" s="35"/>
      <c r="H200" s="352"/>
      <c r="I200" s="35"/>
      <c r="J200" s="35"/>
      <c r="K200" s="35"/>
      <c r="L200" s="35"/>
      <c r="M200" s="35"/>
      <c r="N200" s="35"/>
      <c r="O200" s="35"/>
      <c r="P200" s="35"/>
      <c r="Q200" s="35"/>
      <c r="R200" s="35"/>
      <c r="S200" s="35"/>
      <c r="T200" s="331">
        <f t="shared" si="89"/>
        <v>0</v>
      </c>
      <c r="U200" s="365"/>
      <c r="V200" s="365"/>
      <c r="W200" s="365"/>
    </row>
    <row r="201" spans="1:23" hidden="1" x14ac:dyDescent="0.25">
      <c r="A201" s="42"/>
      <c r="B201" s="36"/>
      <c r="C201" s="334"/>
      <c r="D201" s="35"/>
      <c r="E201" s="35"/>
      <c r="F201" s="35"/>
      <c r="G201" s="35"/>
      <c r="H201" s="352"/>
      <c r="I201" s="35"/>
      <c r="J201" s="35"/>
      <c r="K201" s="35"/>
      <c r="L201" s="35"/>
      <c r="M201" s="35"/>
      <c r="N201" s="35"/>
      <c r="O201" s="35"/>
      <c r="P201" s="35"/>
      <c r="Q201" s="35"/>
      <c r="R201" s="35"/>
      <c r="S201" s="35"/>
      <c r="T201" s="331">
        <f t="shared" si="89"/>
        <v>0</v>
      </c>
      <c r="U201" s="365"/>
      <c r="V201" s="365"/>
      <c r="W201" s="365"/>
    </row>
    <row r="202" spans="1:23" hidden="1" x14ac:dyDescent="0.25">
      <c r="A202" s="42"/>
      <c r="B202" s="36"/>
      <c r="C202" s="334"/>
      <c r="D202" s="35"/>
      <c r="E202" s="35"/>
      <c r="F202" s="35"/>
      <c r="G202" s="35"/>
      <c r="H202" s="352"/>
      <c r="I202" s="35"/>
      <c r="J202" s="35"/>
      <c r="K202" s="35"/>
      <c r="L202" s="35"/>
      <c r="M202" s="35"/>
      <c r="N202" s="35"/>
      <c r="O202" s="35"/>
      <c r="P202" s="35"/>
      <c r="Q202" s="35"/>
      <c r="R202" s="35"/>
      <c r="S202" s="35"/>
      <c r="T202" s="331">
        <f t="shared" si="89"/>
        <v>0</v>
      </c>
      <c r="U202" s="365"/>
      <c r="V202" s="365"/>
      <c r="W202" s="365"/>
    </row>
    <row r="203" spans="1:23" hidden="1" x14ac:dyDescent="0.25">
      <c r="A203" s="42"/>
      <c r="B203" s="36"/>
      <c r="C203" s="334"/>
      <c r="D203" s="35"/>
      <c r="E203" s="35"/>
      <c r="F203" s="35"/>
      <c r="G203" s="35"/>
      <c r="H203" s="352"/>
      <c r="I203" s="35"/>
      <c r="J203" s="35"/>
      <c r="K203" s="35"/>
      <c r="L203" s="35"/>
      <c r="M203" s="35"/>
      <c r="N203" s="35"/>
      <c r="O203" s="35"/>
      <c r="P203" s="35"/>
      <c r="Q203" s="35"/>
      <c r="R203" s="35"/>
      <c r="S203" s="35"/>
      <c r="T203" s="331">
        <f t="shared" si="89"/>
        <v>0</v>
      </c>
      <c r="U203" s="365"/>
      <c r="V203" s="365"/>
      <c r="W203" s="365"/>
    </row>
    <row r="204" spans="1:23" hidden="1" x14ac:dyDescent="0.25">
      <c r="A204" s="42"/>
      <c r="B204" s="36"/>
      <c r="C204" s="334"/>
      <c r="D204" s="35"/>
      <c r="E204" s="35"/>
      <c r="F204" s="35"/>
      <c r="G204" s="35"/>
      <c r="H204" s="352"/>
      <c r="I204" s="35"/>
      <c r="J204" s="35"/>
      <c r="K204" s="35"/>
      <c r="L204" s="35"/>
      <c r="M204" s="35"/>
      <c r="N204" s="35"/>
      <c r="O204" s="35"/>
      <c r="P204" s="35"/>
      <c r="Q204" s="35"/>
      <c r="R204" s="35"/>
      <c r="S204" s="35"/>
      <c r="T204" s="331">
        <f t="shared" si="89"/>
        <v>0</v>
      </c>
      <c r="U204" s="365"/>
      <c r="V204" s="365"/>
      <c r="W204" s="365"/>
    </row>
    <row r="205" spans="1:23" hidden="1" x14ac:dyDescent="0.25">
      <c r="A205" s="42"/>
      <c r="B205" s="36"/>
      <c r="C205" s="334"/>
      <c r="D205" s="35"/>
      <c r="E205" s="35"/>
      <c r="F205" s="35"/>
      <c r="G205" s="35"/>
      <c r="H205" s="352"/>
      <c r="I205" s="35"/>
      <c r="J205" s="35"/>
      <c r="K205" s="35"/>
      <c r="L205" s="35"/>
      <c r="M205" s="35"/>
      <c r="N205" s="35"/>
      <c r="O205" s="35"/>
      <c r="P205" s="35"/>
      <c r="Q205" s="35"/>
      <c r="R205" s="35"/>
      <c r="S205" s="35"/>
      <c r="T205" s="331">
        <f t="shared" si="89"/>
        <v>0</v>
      </c>
      <c r="U205" s="365"/>
      <c r="V205" s="365"/>
      <c r="W205" s="365"/>
    </row>
    <row r="206" spans="1:23" hidden="1" x14ac:dyDescent="0.25">
      <c r="A206" s="42"/>
      <c r="B206" s="36"/>
      <c r="C206" s="334"/>
      <c r="D206" s="35"/>
      <c r="E206" s="35"/>
      <c r="F206" s="35"/>
      <c r="G206" s="35"/>
      <c r="H206" s="352"/>
      <c r="I206" s="35"/>
      <c r="J206" s="35"/>
      <c r="K206" s="35"/>
      <c r="L206" s="35"/>
      <c r="M206" s="35"/>
      <c r="N206" s="35"/>
      <c r="O206" s="35"/>
      <c r="P206" s="35"/>
      <c r="Q206" s="35"/>
      <c r="R206" s="35"/>
      <c r="S206" s="35"/>
      <c r="T206" s="331">
        <f t="shared" si="89"/>
        <v>0</v>
      </c>
      <c r="U206" s="365"/>
      <c r="V206" s="365"/>
      <c r="W206" s="365"/>
    </row>
    <row r="207" spans="1:23" hidden="1" x14ac:dyDescent="0.25">
      <c r="A207" s="356"/>
      <c r="B207" s="36"/>
      <c r="C207" s="334"/>
      <c r="D207" s="35"/>
      <c r="E207" s="35"/>
      <c r="F207" s="35"/>
      <c r="G207" s="35"/>
      <c r="H207" s="352"/>
      <c r="I207" s="35"/>
      <c r="J207" s="35"/>
      <c r="K207" s="35"/>
      <c r="L207" s="35"/>
      <c r="M207" s="35"/>
      <c r="N207" s="35"/>
      <c r="O207" s="35"/>
      <c r="P207" s="35"/>
      <c r="Q207" s="35"/>
      <c r="R207" s="35"/>
      <c r="S207" s="35"/>
      <c r="T207" s="331">
        <f t="shared" si="89"/>
        <v>0</v>
      </c>
      <c r="U207" s="365"/>
      <c r="V207" s="365"/>
      <c r="W207" s="365"/>
    </row>
    <row r="208" spans="1:23" hidden="1" x14ac:dyDescent="0.25">
      <c r="A208" s="356"/>
      <c r="B208" s="36"/>
      <c r="C208" s="334"/>
      <c r="D208" s="35"/>
      <c r="E208" s="35"/>
      <c r="F208" s="35"/>
      <c r="G208" s="35"/>
      <c r="H208" s="352"/>
      <c r="I208" s="35"/>
      <c r="J208" s="35"/>
      <c r="K208" s="35"/>
      <c r="L208" s="35"/>
      <c r="M208" s="35"/>
      <c r="N208" s="35"/>
      <c r="O208" s="35"/>
      <c r="P208" s="35"/>
      <c r="Q208" s="35"/>
      <c r="R208" s="35"/>
      <c r="S208" s="35"/>
      <c r="T208" s="331">
        <f t="shared" si="89"/>
        <v>0</v>
      </c>
      <c r="U208" s="365"/>
      <c r="V208" s="365"/>
      <c r="W208" s="365"/>
    </row>
    <row r="209" spans="1:23" x14ac:dyDescent="0.25">
      <c r="A209" s="356"/>
      <c r="B209" s="36" t="s">
        <v>1896</v>
      </c>
      <c r="C209" s="334">
        <f>SUM(C192:C208)</f>
        <v>1</v>
      </c>
      <c r="D209" s="541"/>
      <c r="E209" s="542"/>
      <c r="F209" s="542"/>
      <c r="G209" s="529"/>
      <c r="H209" s="529"/>
      <c r="I209" s="529"/>
      <c r="J209" s="529"/>
      <c r="K209" s="529"/>
      <c r="L209" s="529"/>
      <c r="M209" s="529"/>
      <c r="N209" s="529"/>
      <c r="O209" s="529"/>
      <c r="P209" s="529"/>
      <c r="Q209" s="529"/>
      <c r="R209" s="529"/>
      <c r="S209" s="529"/>
      <c r="T209" s="530"/>
      <c r="U209" s="348"/>
      <c r="V209" s="348"/>
      <c r="W209" s="348"/>
    </row>
    <row r="210" spans="1:23" x14ac:dyDescent="0.25">
      <c r="A210" s="531" t="s">
        <v>1908</v>
      </c>
      <c r="B210" s="532"/>
      <c r="C210" s="334"/>
      <c r="D210" s="331">
        <f>+(D192*$C$192)+(D193*$C$193)+(D194*$C$194)+(D195*$C$195)+(D196*$C$196)+(D197*$C$197)+(D198*$C$198)+(D199*$C$199)+(D200*$C$200)+(D201*$C$201)+(D202*$C$202)+(D203*$C$203)+(D204*$C$204)+(D205*$C$205)+(D206*$C$206)</f>
        <v>0.22500000000000001</v>
      </c>
      <c r="E210" s="331">
        <f t="shared" ref="E210" si="93">+(E192*$C$192)+(E193*$C$193)+(E194*$C$194)+(E195*$C$195)+(E196*$C$196)+(E197*$C$197)+(E198*$C$198)+(E199*$C$199)+(E200*$C$200)+(E201*$C$201)+(E202*$C$202)+(E203*$C$203)+(E204*$C$204)+(E205*$C$205)+(E206*$C$206)</f>
        <v>0.15000000000000002</v>
      </c>
      <c r="F210" s="331">
        <f>+E210/D210</f>
        <v>0.66666666666666674</v>
      </c>
      <c r="G210" s="331">
        <f>+(G192*$C$192)+(G193*$C$193)+(G194*$C$194)+(G195*$C$195)+(G196*$C$196)+(G197*$C$197)+(G198*$C$198)+(G199*$C$199)+(G200*$C$200)+(G201*$C$201)+(G202*$C$202)+(G203*$C$203)+(G204*$C$204)+(G205*$C$205)</f>
        <v>0.16250000000000001</v>
      </c>
      <c r="H210" s="331">
        <f>+(H192*$C$192)+(H193*$C$193)+(H194*$C$194)+(H195*$C$195)+(H196*$C$196)+(H197*$C$197)+(H198*$C$198)+(H199*$C$199)+(H200*$C$200)+(H201*$C$201)+(H202*$C$202)+(H203*$C$203)+(H204*$C$204)+(H205*$C$205)</f>
        <v>0.140625</v>
      </c>
      <c r="I210" s="331">
        <f>+H210/G210</f>
        <v>0.86538461538461531</v>
      </c>
      <c r="J210" s="331">
        <f>+(J192*$C$192)+(J193*$C$193)+(J194*$C$194)+(J195*$C$195)+(J196*$C$196)+(J197*$C$197)+(J198*$C$198)+(J199*$C$199)+(J200*$C$200)+(J201*$C$201)+(J202*$C$202)+(J203*$C$203)+(J204*$C$204)+(J205*$C$205)</f>
        <v>0.16250000000000001</v>
      </c>
      <c r="K210" s="331">
        <f>+(K192*$C$192)+(K193*$C$193)+(K194*$C$194)+(K195*$C$195)+(K196*$C$196)+(K197*$C$197)+(K198*$C$198)+(K199*$C$199)+(K200*$C$200)+(K201*$C$201)+(K202*$C$202)+(K203*$C$203)+(K204*$C$204)+(K205*$C$205)</f>
        <v>0.16250000000000001</v>
      </c>
      <c r="L210" s="331">
        <f>+K210/J210</f>
        <v>1</v>
      </c>
      <c r="M210" s="331">
        <f>+(M192*$C$192)+(M193*$C$193)+(M194*$C$194)+(M195*$C$195)+(M196*$C$196)+(M197*$C$197)+(M198*$C$198)+(M199*$C$199)+(M200*$C$200)+(M201*$C$201)+(M202*$C$202)+(M203*$C$203)+(M204*$C$204)+(M205*$C$205)</f>
        <v>2.2499999999999999E-2</v>
      </c>
      <c r="N210" s="331">
        <f>+(N192*$C$192)+(N193*$C$193)+(N194*$C$194)+(N195*$C$195)+(N196*$C$196)+(N197*$C$197)+(N198*$C$198)+(N199*$C$199)+(N200*$C$200)+(N201*$C$201)+(N202*$C$202)+(N203*$C$203)+(N204*$C$204)+(N205*$C$205)</f>
        <v>0.22500000000000001</v>
      </c>
      <c r="O210" s="331">
        <f>+(O192*$C$192)+(O193*$C$193)+(O194*$C$194)+(O195*$C$195)+(O196*$C$196)+(O197*$C$197)+(O198*$C$198)+(O199*$C$199)+(O200*$C$200)+(O201*$C$201)+(O202*$C$202)+(O203*$C$203)+(O204*$C$204)+(O205*$C$205)</f>
        <v>0.22500000000000001</v>
      </c>
      <c r="P210" s="331">
        <f>+O210/N210</f>
        <v>1</v>
      </c>
      <c r="Q210" s="331">
        <f t="shared" ref="Q210:R210" si="94">+(Q192*$C$192)+(Q193*$C$193)+(Q194*$C$194)+(Q195*$C$195)+(Q196*$C$196)+(Q197*$C$197)+(Q198*$C$198)+(Q199*$C$199)+(Q200*$C$200)+(Q201*$C$201)+(Q202*$C$202)+(Q203*$C$203)+(Q204*$C$204)+(Q205*$C$205)</f>
        <v>0</v>
      </c>
      <c r="R210" s="331">
        <f t="shared" si="94"/>
        <v>0</v>
      </c>
      <c r="S210" s="331">
        <f>+(S192*$C$192)+(S193*$C$193)+(S194*$C$194)+(S195*$C$195)+(S196*$C$196)+(S197*$C$197)+(S198*$C$198)+(S199*$C$199)+(S200*$C$200)+(S201*$C$201)+(S202*$C$202)+(S203*$C$203)+(S204*$C$204)+(S205*$C$205)</f>
        <v>0.22500000000000001</v>
      </c>
      <c r="T210" s="331">
        <f>+D210+G210+J210+N210+S210</f>
        <v>1</v>
      </c>
      <c r="U210" s="335">
        <f>+D210+G210+J210</f>
        <v>0.55000000000000004</v>
      </c>
      <c r="V210" s="335">
        <f>+E210+H210+K210</f>
        <v>0.453125</v>
      </c>
      <c r="W210" s="335">
        <f t="shared" ref="W210" si="95">+V210/U210</f>
        <v>0.82386363636363624</v>
      </c>
    </row>
    <row r="211" spans="1:23" x14ac:dyDescent="0.25">
      <c r="B211" s="325"/>
      <c r="H211" s="137"/>
    </row>
    <row r="212" spans="1:23" x14ac:dyDescent="0.25">
      <c r="B212" s="325"/>
      <c r="H212" s="137"/>
    </row>
    <row r="213" spans="1:23" x14ac:dyDescent="0.25">
      <c r="H213" s="137"/>
    </row>
    <row r="214" spans="1:23" x14ac:dyDescent="0.25">
      <c r="H214" s="137"/>
    </row>
    <row r="215" spans="1:23" ht="18.75" x14ac:dyDescent="0.3">
      <c r="A215" s="535" t="s">
        <v>1</v>
      </c>
      <c r="B215" s="535"/>
      <c r="C215" s="535"/>
      <c r="D215" s="535"/>
      <c r="E215" s="535"/>
      <c r="F215" s="535"/>
      <c r="G215" s="535"/>
      <c r="H215" s="535"/>
      <c r="I215" s="535"/>
      <c r="J215" s="535"/>
      <c r="K215" s="535"/>
      <c r="L215" s="535"/>
      <c r="M215" s="535"/>
      <c r="N215" s="535"/>
      <c r="O215" s="535"/>
      <c r="P215" s="535"/>
      <c r="Q215" s="535"/>
      <c r="R215" s="535"/>
      <c r="S215" s="535"/>
      <c r="T215" s="535"/>
      <c r="U215" s="324"/>
      <c r="V215" s="324"/>
      <c r="W215" s="324"/>
    </row>
    <row r="216" spans="1:23" ht="18.75" x14ac:dyDescent="0.3">
      <c r="A216" s="535" t="s">
        <v>1884</v>
      </c>
      <c r="B216" s="535"/>
      <c r="C216" s="535"/>
      <c r="D216" s="535"/>
      <c r="E216" s="535"/>
      <c r="F216" s="535"/>
      <c r="G216" s="535"/>
      <c r="H216" s="535"/>
      <c r="I216" s="535"/>
      <c r="J216" s="535"/>
      <c r="K216" s="535"/>
      <c r="L216" s="535"/>
      <c r="M216" s="535"/>
      <c r="N216" s="535"/>
      <c r="O216" s="535"/>
      <c r="P216" s="535"/>
      <c r="Q216" s="535"/>
      <c r="R216" s="535"/>
      <c r="S216" s="535"/>
      <c r="T216" s="535"/>
      <c r="U216" s="324"/>
      <c r="V216" s="324"/>
      <c r="W216" s="324"/>
    </row>
    <row r="217" spans="1:23" ht="18.75" x14ac:dyDescent="0.3">
      <c r="A217" s="535" t="s">
        <v>1885</v>
      </c>
      <c r="B217" s="535"/>
      <c r="C217" s="535"/>
      <c r="D217" s="535"/>
      <c r="E217" s="535"/>
      <c r="F217" s="535"/>
      <c r="G217" s="535"/>
      <c r="H217" s="535"/>
      <c r="I217" s="535"/>
      <c r="J217" s="535"/>
      <c r="K217" s="535"/>
      <c r="L217" s="535"/>
      <c r="M217" s="535"/>
      <c r="N217" s="535"/>
      <c r="O217" s="535"/>
      <c r="P217" s="535"/>
      <c r="Q217" s="535"/>
      <c r="R217" s="535"/>
      <c r="S217" s="535"/>
      <c r="T217" s="535"/>
      <c r="U217" s="324"/>
      <c r="V217" s="324"/>
      <c r="W217" s="324"/>
    </row>
    <row r="218" spans="1:23" ht="18.75" x14ac:dyDescent="0.3">
      <c r="A218" s="535" t="s">
        <v>2126</v>
      </c>
      <c r="B218" s="535"/>
      <c r="C218" s="535"/>
      <c r="D218" s="535"/>
      <c r="E218" s="535"/>
      <c r="F218" s="535"/>
      <c r="G218" s="535"/>
      <c r="H218" s="535"/>
      <c r="I218" s="535"/>
      <c r="J218" s="535"/>
      <c r="K218" s="535"/>
      <c r="L218" s="535"/>
      <c r="M218" s="535"/>
      <c r="N218" s="535"/>
      <c r="O218" s="535"/>
      <c r="P218" s="535"/>
      <c r="Q218" s="535"/>
      <c r="R218" s="535"/>
      <c r="S218" s="535"/>
      <c r="T218" s="535"/>
      <c r="U218" s="324"/>
      <c r="V218" s="324"/>
      <c r="W218" s="324"/>
    </row>
    <row r="219" spans="1:23" ht="18.75" x14ac:dyDescent="0.3">
      <c r="A219" s="535" t="s">
        <v>2224</v>
      </c>
      <c r="B219" s="535"/>
      <c r="C219" s="535"/>
      <c r="D219" s="535"/>
      <c r="E219" s="535"/>
      <c r="F219" s="535"/>
      <c r="G219" s="535"/>
      <c r="H219" s="535"/>
      <c r="I219" s="535"/>
      <c r="J219" s="535"/>
      <c r="K219" s="535"/>
      <c r="L219" s="535"/>
      <c r="M219" s="535"/>
      <c r="N219" s="535"/>
      <c r="O219" s="535"/>
      <c r="P219" s="535"/>
      <c r="Q219" s="535"/>
      <c r="R219" s="535"/>
      <c r="S219" s="535"/>
      <c r="T219" s="535"/>
      <c r="U219" s="324"/>
      <c r="V219" s="324"/>
      <c r="W219" s="324"/>
    </row>
    <row r="220" spans="1:23" ht="18.75" x14ac:dyDescent="0.3">
      <c r="A220" s="366"/>
      <c r="H220" s="137"/>
    </row>
    <row r="221" spans="1:23" x14ac:dyDescent="0.25">
      <c r="A221" s="537" t="s">
        <v>1910</v>
      </c>
      <c r="B221" s="537" t="s">
        <v>1911</v>
      </c>
      <c r="C221" s="537" t="s">
        <v>1888</v>
      </c>
      <c r="D221" s="531" t="s">
        <v>1912</v>
      </c>
      <c r="E221" s="539"/>
      <c r="F221" s="539"/>
      <c r="G221" s="539"/>
      <c r="H221" s="539"/>
      <c r="I221" s="539"/>
      <c r="J221" s="539"/>
      <c r="K221" s="539"/>
      <c r="L221" s="539"/>
      <c r="M221" s="539"/>
      <c r="N221" s="539"/>
      <c r="O221" s="539"/>
      <c r="P221" s="539"/>
      <c r="Q221" s="539"/>
      <c r="R221" s="539"/>
      <c r="S221" s="539"/>
      <c r="T221" s="532"/>
      <c r="U221" s="534" t="s">
        <v>1890</v>
      </c>
      <c r="V221" s="534"/>
      <c r="W221" s="534"/>
    </row>
    <row r="222" spans="1:23" ht="45" x14ac:dyDescent="0.25">
      <c r="A222" s="538" t="s">
        <v>1910</v>
      </c>
      <c r="B222" s="538"/>
      <c r="C222" s="538" t="s">
        <v>1888</v>
      </c>
      <c r="D222" s="326">
        <v>2012</v>
      </c>
      <c r="E222" s="326" t="s">
        <v>1891</v>
      </c>
      <c r="F222" s="326" t="s">
        <v>1892</v>
      </c>
      <c r="G222" s="326">
        <v>2013</v>
      </c>
      <c r="H222" s="326" t="s">
        <v>1891</v>
      </c>
      <c r="I222" s="326" t="s">
        <v>1892</v>
      </c>
      <c r="J222" s="326">
        <v>2014</v>
      </c>
      <c r="K222" s="326" t="s">
        <v>1891</v>
      </c>
      <c r="L222" s="326" t="s">
        <v>1892</v>
      </c>
      <c r="M222" s="326"/>
      <c r="N222" s="326">
        <v>2015</v>
      </c>
      <c r="O222" s="326"/>
      <c r="P222" s="326"/>
      <c r="Q222" s="327" t="s">
        <v>1894</v>
      </c>
      <c r="R222" s="327" t="s">
        <v>1895</v>
      </c>
      <c r="S222" s="326">
        <v>2016</v>
      </c>
      <c r="T222" s="326" t="s">
        <v>1896</v>
      </c>
      <c r="U222" s="328" t="s">
        <v>1897</v>
      </c>
      <c r="V222" s="328" t="s">
        <v>1898</v>
      </c>
      <c r="W222" s="328" t="s">
        <v>1899</v>
      </c>
    </row>
    <row r="223" spans="1:23" ht="30" x14ac:dyDescent="0.25">
      <c r="A223" s="42" t="s">
        <v>2127</v>
      </c>
      <c r="B223" s="36" t="s">
        <v>2128</v>
      </c>
      <c r="C223" s="331">
        <v>0.1</v>
      </c>
      <c r="D223" s="35">
        <f>20%*30%+20%*70%</f>
        <v>0.19999999999999998</v>
      </c>
      <c r="E223" s="35">
        <v>0.2</v>
      </c>
      <c r="F223" s="35">
        <f t="shared" ref="F223:F232" si="96">+E223/D223</f>
        <v>1.0000000000000002</v>
      </c>
      <c r="G223" s="35">
        <f>20%*30%+20%*70%</f>
        <v>0.19999999999999998</v>
      </c>
      <c r="H223" s="35">
        <f>20%*30%+20%*70%</f>
        <v>0.19999999999999998</v>
      </c>
      <c r="I223" s="35">
        <f t="shared" ref="I223:I232" si="97">+H223/G223</f>
        <v>1</v>
      </c>
      <c r="J223" s="35">
        <f>20%*30%+20%*70%</f>
        <v>0.19999999999999998</v>
      </c>
      <c r="K223" s="35">
        <f>20%*30%+20%*70%</f>
        <v>0.19999999999999998</v>
      </c>
      <c r="L223" s="35">
        <f t="shared" ref="L223:L231" si="98">+K223/J223</f>
        <v>1</v>
      </c>
      <c r="M223" s="35"/>
      <c r="N223" s="35">
        <f>20%*30%+20%*70%</f>
        <v>0.19999999999999998</v>
      </c>
      <c r="O223" s="35">
        <v>0.2</v>
      </c>
      <c r="P223" s="46">
        <f t="shared" ref="P223:P234" si="99">+O223/N223</f>
        <v>1.0000000000000002</v>
      </c>
      <c r="Q223" s="46"/>
      <c r="R223" s="46"/>
      <c r="S223" s="35">
        <f>20%*30%+20%*70%</f>
        <v>0.19999999999999998</v>
      </c>
      <c r="T223" s="331">
        <f t="shared" ref="T223:T232" si="100">+D223+G223+J223+N223+S223</f>
        <v>0.99999999999999989</v>
      </c>
      <c r="U223" s="335">
        <f t="shared" ref="U223:U236" si="101">+D223+G223+J223+N223</f>
        <v>0.79999999999999993</v>
      </c>
      <c r="V223" s="335">
        <f t="shared" ref="V223:V236" si="102">+E223+H223+K223+M223+O223+Q223+R223</f>
        <v>0.8</v>
      </c>
      <c r="W223" s="335">
        <f t="shared" ref="W223:W238" si="103">+V223/U223</f>
        <v>1.0000000000000002</v>
      </c>
    </row>
    <row r="224" spans="1:23" hidden="1" x14ac:dyDescent="0.25">
      <c r="A224" s="42" t="s">
        <v>2129</v>
      </c>
      <c r="B224" s="36" t="s">
        <v>2130</v>
      </c>
      <c r="C224" s="331">
        <v>0.05</v>
      </c>
      <c r="D224" s="35">
        <f>100%*50%</f>
        <v>0.5</v>
      </c>
      <c r="E224" s="35">
        <v>0.5</v>
      </c>
      <c r="F224" s="35">
        <f t="shared" si="96"/>
        <v>1</v>
      </c>
      <c r="G224" s="35"/>
      <c r="H224" s="107"/>
      <c r="I224" s="35"/>
      <c r="J224" s="35">
        <f>100%*50%</f>
        <v>0.5</v>
      </c>
      <c r="K224" s="35">
        <f>100%*50%</f>
        <v>0.5</v>
      </c>
      <c r="L224" s="35">
        <f t="shared" si="98"/>
        <v>1</v>
      </c>
      <c r="M224" s="35"/>
      <c r="N224" s="35"/>
      <c r="O224" s="35"/>
      <c r="P224" s="46"/>
      <c r="Q224" s="46"/>
      <c r="R224" s="46"/>
      <c r="S224" s="35"/>
      <c r="T224" s="331">
        <f t="shared" si="100"/>
        <v>1</v>
      </c>
      <c r="U224" s="335">
        <f t="shared" si="101"/>
        <v>1</v>
      </c>
      <c r="V224" s="335">
        <f t="shared" si="102"/>
        <v>1</v>
      </c>
      <c r="W224" s="335">
        <f t="shared" si="103"/>
        <v>1</v>
      </c>
    </row>
    <row r="225" spans="1:31" ht="30" hidden="1" x14ac:dyDescent="0.25">
      <c r="A225" s="42" t="s">
        <v>2131</v>
      </c>
      <c r="B225" s="36" t="s">
        <v>2132</v>
      </c>
      <c r="C225" s="331">
        <v>0.05</v>
      </c>
      <c r="D225" s="35">
        <v>0.5</v>
      </c>
      <c r="E225" s="35">
        <v>0.5</v>
      </c>
      <c r="F225" s="35">
        <f t="shared" si="96"/>
        <v>1</v>
      </c>
      <c r="G225" s="35">
        <v>0.5</v>
      </c>
      <c r="H225" s="107">
        <v>0</v>
      </c>
      <c r="I225" s="35">
        <f t="shared" si="97"/>
        <v>0</v>
      </c>
      <c r="J225" s="35"/>
      <c r="K225" s="35"/>
      <c r="L225" s="35"/>
      <c r="M225" s="35"/>
      <c r="N225" s="35"/>
      <c r="O225" s="35"/>
      <c r="P225" s="46"/>
      <c r="Q225" s="46"/>
      <c r="R225" s="46"/>
      <c r="S225" s="35"/>
      <c r="T225" s="331">
        <f t="shared" si="100"/>
        <v>1</v>
      </c>
      <c r="U225" s="335">
        <f t="shared" si="101"/>
        <v>1</v>
      </c>
      <c r="V225" s="335">
        <f t="shared" si="102"/>
        <v>0.5</v>
      </c>
      <c r="W225" s="335">
        <f t="shared" si="103"/>
        <v>0.5</v>
      </c>
      <c r="X225" s="325" t="s">
        <v>2133</v>
      </c>
      <c r="AC225" s="540">
        <v>2013</v>
      </c>
      <c r="AD225" s="540"/>
      <c r="AE225" s="540"/>
    </row>
    <row r="226" spans="1:31" ht="45" x14ac:dyDescent="0.25">
      <c r="A226" s="42" t="s">
        <v>2134</v>
      </c>
      <c r="B226" s="36" t="s">
        <v>2135</v>
      </c>
      <c r="C226" s="331">
        <v>0.1</v>
      </c>
      <c r="D226" s="35">
        <f>100%*25%</f>
        <v>0.25</v>
      </c>
      <c r="E226" s="35">
        <v>0.25</v>
      </c>
      <c r="F226" s="35">
        <f t="shared" si="96"/>
        <v>1</v>
      </c>
      <c r="G226" s="35">
        <f>25%*75%</f>
        <v>0.1875</v>
      </c>
      <c r="H226" s="35">
        <f>25%*75%</f>
        <v>0.1875</v>
      </c>
      <c r="I226" s="35">
        <f t="shared" si="97"/>
        <v>1</v>
      </c>
      <c r="J226" s="35">
        <f>25%*75%</f>
        <v>0.1875</v>
      </c>
      <c r="K226" s="35">
        <f>25%*75%</f>
        <v>0.1875</v>
      </c>
      <c r="L226" s="35">
        <f t="shared" si="98"/>
        <v>1</v>
      </c>
      <c r="M226" s="35"/>
      <c r="N226" s="35">
        <f>25%*75%</f>
        <v>0.1875</v>
      </c>
      <c r="O226" s="35">
        <v>0.19</v>
      </c>
      <c r="P226" s="46">
        <f t="shared" si="99"/>
        <v>1.0133333333333334</v>
      </c>
      <c r="Q226" s="46"/>
      <c r="R226" s="46"/>
      <c r="S226" s="35">
        <f>25%*75%</f>
        <v>0.1875</v>
      </c>
      <c r="T226" s="331">
        <f t="shared" si="100"/>
        <v>1</v>
      </c>
      <c r="U226" s="335">
        <f t="shared" si="101"/>
        <v>0.8125</v>
      </c>
      <c r="V226" s="335">
        <f t="shared" si="102"/>
        <v>0.81499999999999995</v>
      </c>
      <c r="W226" s="335">
        <f t="shared" si="103"/>
        <v>1.003076923076923</v>
      </c>
      <c r="Y226" s="332">
        <f>SUM(D223:D226)</f>
        <v>1.45</v>
      </c>
      <c r="Z226" s="332">
        <f>SUM(E223:E226)</f>
        <v>1.45</v>
      </c>
      <c r="AA226" s="332">
        <f>+Z226/Y226</f>
        <v>1</v>
      </c>
      <c r="AB226" t="s">
        <v>2136</v>
      </c>
      <c r="AC226" s="332">
        <f>SUM(G223:G226)</f>
        <v>0.88749999999999996</v>
      </c>
      <c r="AD226" s="332">
        <f>SUM(H223:H226)</f>
        <v>0.38749999999999996</v>
      </c>
      <c r="AE226" s="332">
        <f>+AD226/AC226</f>
        <v>0.43661971830985913</v>
      </c>
    </row>
    <row r="227" spans="1:31" x14ac:dyDescent="0.25">
      <c r="A227" s="42" t="s">
        <v>2137</v>
      </c>
      <c r="B227" s="36" t="s">
        <v>2138</v>
      </c>
      <c r="C227" s="331">
        <v>0.1</v>
      </c>
      <c r="D227" s="35">
        <v>0.2</v>
      </c>
      <c r="E227" s="35">
        <v>0.2</v>
      </c>
      <c r="F227" s="35">
        <f t="shared" si="96"/>
        <v>1</v>
      </c>
      <c r="G227" s="35">
        <v>0.2</v>
      </c>
      <c r="H227" s="35">
        <v>0.2</v>
      </c>
      <c r="I227" s="35">
        <f t="shared" si="97"/>
        <v>1</v>
      </c>
      <c r="J227" s="35">
        <v>0.2</v>
      </c>
      <c r="K227" s="35">
        <v>0.2</v>
      </c>
      <c r="L227" s="35">
        <f t="shared" si="98"/>
        <v>1</v>
      </c>
      <c r="M227" s="35"/>
      <c r="N227" s="35">
        <v>0.2</v>
      </c>
      <c r="O227" s="35">
        <v>0.2</v>
      </c>
      <c r="P227" s="46">
        <f t="shared" si="99"/>
        <v>1</v>
      </c>
      <c r="Q227" s="46"/>
      <c r="R227" s="46"/>
      <c r="S227" s="35">
        <v>0.2</v>
      </c>
      <c r="T227" s="331">
        <f t="shared" si="100"/>
        <v>1</v>
      </c>
      <c r="U227" s="335">
        <f t="shared" si="101"/>
        <v>0.8</v>
      </c>
      <c r="V227" s="335">
        <f t="shared" si="102"/>
        <v>0.8</v>
      </c>
      <c r="W227" s="335">
        <f t="shared" si="103"/>
        <v>1</v>
      </c>
    </row>
    <row r="228" spans="1:31" ht="30" x14ac:dyDescent="0.25">
      <c r="A228" s="42" t="s">
        <v>2139</v>
      </c>
      <c r="B228" s="36" t="s">
        <v>2140</v>
      </c>
      <c r="C228" s="331">
        <v>0.1</v>
      </c>
      <c r="D228" s="35">
        <v>0.2</v>
      </c>
      <c r="E228" s="35">
        <v>0.2</v>
      </c>
      <c r="F228" s="35">
        <f t="shared" si="96"/>
        <v>1</v>
      </c>
      <c r="G228" s="35">
        <v>0.2</v>
      </c>
      <c r="H228" s="35">
        <v>0.2</v>
      </c>
      <c r="I228" s="35">
        <f t="shared" si="97"/>
        <v>1</v>
      </c>
      <c r="J228" s="35">
        <v>0.2</v>
      </c>
      <c r="K228" s="35">
        <v>0.2</v>
      </c>
      <c r="L228" s="35">
        <f t="shared" si="98"/>
        <v>1</v>
      </c>
      <c r="M228" s="35"/>
      <c r="N228" s="35">
        <v>0.2</v>
      </c>
      <c r="O228" s="35">
        <v>0.2</v>
      </c>
      <c r="P228" s="46">
        <f t="shared" si="99"/>
        <v>1</v>
      </c>
      <c r="Q228" s="46"/>
      <c r="R228" s="46"/>
      <c r="S228" s="35">
        <v>0.2</v>
      </c>
      <c r="T228" s="331">
        <f t="shared" si="100"/>
        <v>1</v>
      </c>
      <c r="U228" s="335">
        <f t="shared" si="101"/>
        <v>0.8</v>
      </c>
      <c r="V228" s="335">
        <f t="shared" si="102"/>
        <v>0.8</v>
      </c>
      <c r="W228" s="335">
        <f t="shared" si="103"/>
        <v>1</v>
      </c>
      <c r="Y228" s="332">
        <f>SUM(D227:D228)</f>
        <v>0.4</v>
      </c>
      <c r="Z228" s="332">
        <f>SUM(E227:E228)</f>
        <v>0.4</v>
      </c>
      <c r="AA228" s="332">
        <f>+Z228/Y228</f>
        <v>1</v>
      </c>
      <c r="AB228" t="s">
        <v>2136</v>
      </c>
      <c r="AC228" s="332">
        <f>SUM(G228:G229)</f>
        <v>0.38750000000000001</v>
      </c>
      <c r="AD228" s="332">
        <f>SUM(H228:H229)</f>
        <v>0.38750000000000001</v>
      </c>
      <c r="AE228" s="332">
        <f>+AD228/AC228</f>
        <v>1</v>
      </c>
    </row>
    <row r="229" spans="1:31" ht="30" x14ac:dyDescent="0.25">
      <c r="A229" s="42" t="s">
        <v>2141</v>
      </c>
      <c r="B229" s="36" t="s">
        <v>2142</v>
      </c>
      <c r="C229" s="331">
        <v>0.1</v>
      </c>
      <c r="D229" s="35">
        <f>100%*25%</f>
        <v>0.25</v>
      </c>
      <c r="E229" s="35">
        <v>0.25</v>
      </c>
      <c r="F229" s="35">
        <f t="shared" si="96"/>
        <v>1</v>
      </c>
      <c r="G229" s="35">
        <f>25%*75%</f>
        <v>0.1875</v>
      </c>
      <c r="H229" s="35">
        <f>25%*75%</f>
        <v>0.1875</v>
      </c>
      <c r="I229" s="35">
        <f t="shared" si="97"/>
        <v>1</v>
      </c>
      <c r="J229" s="35">
        <f>25%*75%</f>
        <v>0.1875</v>
      </c>
      <c r="K229" s="35">
        <f>(25%*75%)*0.5</f>
        <v>9.375E-2</v>
      </c>
      <c r="L229" s="35">
        <f t="shared" si="98"/>
        <v>0.5</v>
      </c>
      <c r="M229" s="35"/>
      <c r="N229" s="35">
        <f>25%*75%</f>
        <v>0.1875</v>
      </c>
      <c r="O229" s="35">
        <v>0.19</v>
      </c>
      <c r="P229" s="46">
        <f t="shared" si="99"/>
        <v>1.0133333333333334</v>
      </c>
      <c r="Q229" s="46"/>
      <c r="R229" s="46">
        <v>0.09</v>
      </c>
      <c r="S229" s="35">
        <f>25%*75%</f>
        <v>0.1875</v>
      </c>
      <c r="T229" s="331">
        <f t="shared" si="100"/>
        <v>1</v>
      </c>
      <c r="U229" s="335">
        <f t="shared" si="101"/>
        <v>0.8125</v>
      </c>
      <c r="V229" s="335">
        <f t="shared" si="102"/>
        <v>0.81124999999999992</v>
      </c>
      <c r="W229" s="335">
        <f t="shared" si="103"/>
        <v>0.9984615384615384</v>
      </c>
      <c r="X229" s="325" t="s">
        <v>2143</v>
      </c>
    </row>
    <row r="230" spans="1:31" x14ac:dyDescent="0.25">
      <c r="A230" s="42" t="s">
        <v>2144</v>
      </c>
      <c r="B230" s="36" t="s">
        <v>2145</v>
      </c>
      <c r="C230" s="331">
        <v>0.1</v>
      </c>
      <c r="D230" s="35">
        <f>20%*25%+100%*25%</f>
        <v>0.3</v>
      </c>
      <c r="E230" s="35">
        <f>20%*25%</f>
        <v>0.05</v>
      </c>
      <c r="F230" s="35">
        <f t="shared" si="96"/>
        <v>0.16666666666666669</v>
      </c>
      <c r="G230" s="35">
        <f>20%*25%+25%*50%</f>
        <v>0.17499999999999999</v>
      </c>
      <c r="H230" s="35">
        <f>20%*25%+25%*50%</f>
        <v>0.17499999999999999</v>
      </c>
      <c r="I230" s="35">
        <f t="shared" si="97"/>
        <v>1</v>
      </c>
      <c r="J230" s="35">
        <f>20%*25%+25%*50%</f>
        <v>0.17499999999999999</v>
      </c>
      <c r="K230" s="35">
        <f>20%*25%</f>
        <v>0.05</v>
      </c>
      <c r="L230" s="35">
        <f t="shared" si="98"/>
        <v>0.28571428571428575</v>
      </c>
      <c r="M230" s="35"/>
      <c r="N230" s="35">
        <f>20%*25%+25%*50%</f>
        <v>0.17499999999999999</v>
      </c>
      <c r="O230" s="35">
        <f>20%*25%</f>
        <v>0.05</v>
      </c>
      <c r="P230" s="46">
        <f t="shared" si="99"/>
        <v>0.28571428571428575</v>
      </c>
      <c r="Q230" s="46"/>
      <c r="R230" s="46"/>
      <c r="S230" s="35">
        <f>20%*25%+25%*50%</f>
        <v>0.17499999999999999</v>
      </c>
      <c r="T230" s="331">
        <f t="shared" si="100"/>
        <v>1</v>
      </c>
      <c r="U230" s="335">
        <f t="shared" si="101"/>
        <v>0.82499999999999996</v>
      </c>
      <c r="V230" s="335">
        <f t="shared" si="102"/>
        <v>0.32499999999999996</v>
      </c>
      <c r="W230" s="335">
        <f t="shared" si="103"/>
        <v>0.39393939393939392</v>
      </c>
      <c r="X230" s="325" t="s">
        <v>2146</v>
      </c>
      <c r="Y230" s="332">
        <f>SUM(D229:D230)</f>
        <v>0.55000000000000004</v>
      </c>
      <c r="Z230" s="332">
        <f>SUM(E229:E230)</f>
        <v>0.3</v>
      </c>
      <c r="AA230" s="332">
        <f>+Z230/Y230</f>
        <v>0.54545454545454541</v>
      </c>
      <c r="AB230" t="s">
        <v>2136</v>
      </c>
      <c r="AC230" s="332">
        <f>SUM(G229:G230)</f>
        <v>0.36249999999999999</v>
      </c>
      <c r="AD230" s="332">
        <f>SUM(H229:H230)</f>
        <v>0.36249999999999999</v>
      </c>
      <c r="AE230" s="332">
        <f>+AD230/AC230</f>
        <v>1</v>
      </c>
    </row>
    <row r="231" spans="1:31" x14ac:dyDescent="0.25">
      <c r="A231" s="336" t="s">
        <v>2147</v>
      </c>
      <c r="B231" s="64" t="s">
        <v>2148</v>
      </c>
      <c r="C231" s="334">
        <v>0.05</v>
      </c>
      <c r="D231" s="35"/>
      <c r="E231" s="35"/>
      <c r="F231" s="35"/>
      <c r="G231" s="346">
        <f>30%*100%+10%*100%</f>
        <v>0.4</v>
      </c>
      <c r="H231" s="107">
        <v>0</v>
      </c>
      <c r="I231" s="35">
        <f t="shared" si="97"/>
        <v>0</v>
      </c>
      <c r="J231" s="346">
        <f>50%*33%+10%*33%</f>
        <v>0.19800000000000001</v>
      </c>
      <c r="K231" s="346">
        <f>50%*33%+10%*33%</f>
        <v>0.19800000000000001</v>
      </c>
      <c r="L231" s="35">
        <f t="shared" si="98"/>
        <v>1</v>
      </c>
      <c r="M231" s="35">
        <v>0.4</v>
      </c>
      <c r="N231" s="346">
        <f t="shared" ref="N231" si="104">50%*33%+10%*33%</f>
        <v>0.19800000000000001</v>
      </c>
      <c r="O231" s="346">
        <v>0.2</v>
      </c>
      <c r="P231" s="46">
        <f t="shared" si="99"/>
        <v>1.0101010101010102</v>
      </c>
      <c r="Q231" s="46"/>
      <c r="R231" s="46"/>
      <c r="S231" s="346">
        <f>50%*34%+10%*33%</f>
        <v>0.20300000000000001</v>
      </c>
      <c r="T231" s="331">
        <f t="shared" si="100"/>
        <v>0.99900000000000011</v>
      </c>
      <c r="U231" s="335">
        <f t="shared" si="101"/>
        <v>0.79600000000000004</v>
      </c>
      <c r="V231" s="335">
        <f t="shared" si="102"/>
        <v>0.79800000000000004</v>
      </c>
      <c r="W231" s="335">
        <f t="shared" si="103"/>
        <v>1.0025125628140703</v>
      </c>
    </row>
    <row r="232" spans="1:31" ht="29.25" customHeight="1" x14ac:dyDescent="0.25">
      <c r="A232" s="336" t="s">
        <v>2149</v>
      </c>
      <c r="B232" s="64" t="s">
        <v>2150</v>
      </c>
      <c r="C232" s="334">
        <v>0.1</v>
      </c>
      <c r="D232" s="346">
        <f>10%*100%</f>
        <v>0.1</v>
      </c>
      <c r="E232" s="346">
        <f>10%*20%</f>
        <v>2.0000000000000004E-2</v>
      </c>
      <c r="F232" s="35">
        <f t="shared" si="96"/>
        <v>0.20000000000000004</v>
      </c>
      <c r="G232" s="346">
        <f>30%*100%</f>
        <v>0.3</v>
      </c>
      <c r="H232" s="346">
        <f>30%*100%</f>
        <v>0.3</v>
      </c>
      <c r="I232" s="35">
        <f t="shared" si="97"/>
        <v>1</v>
      </c>
      <c r="J232" s="65"/>
      <c r="K232" s="65"/>
      <c r="L232" s="35"/>
      <c r="M232" s="35"/>
      <c r="N232" s="65">
        <v>0.6</v>
      </c>
      <c r="O232" s="65">
        <v>0.6</v>
      </c>
      <c r="P232" s="46">
        <f t="shared" si="99"/>
        <v>1</v>
      </c>
      <c r="Q232" s="46"/>
      <c r="R232" s="46"/>
      <c r="S232" s="65"/>
      <c r="T232" s="331">
        <f t="shared" si="100"/>
        <v>1</v>
      </c>
      <c r="U232" s="335">
        <f t="shared" si="101"/>
        <v>1</v>
      </c>
      <c r="V232" s="335">
        <f t="shared" si="102"/>
        <v>0.91999999999999993</v>
      </c>
      <c r="W232" s="335">
        <f t="shared" si="103"/>
        <v>0.91999999999999993</v>
      </c>
    </row>
    <row r="233" spans="1:31" hidden="1" x14ac:dyDescent="0.25">
      <c r="A233" s="336"/>
      <c r="B233" s="64"/>
      <c r="C233" s="334"/>
      <c r="D233" s="35"/>
      <c r="E233" s="35"/>
      <c r="F233" s="35"/>
      <c r="G233" s="346"/>
      <c r="H233" s="65"/>
      <c r="I233" s="35"/>
      <c r="J233" s="65"/>
      <c r="K233" s="65"/>
      <c r="L233" s="35"/>
      <c r="M233" s="35"/>
      <c r="N233" s="65"/>
      <c r="O233" s="65"/>
      <c r="P233" s="46" t="e">
        <f t="shared" si="99"/>
        <v>#DIV/0!</v>
      </c>
      <c r="Q233" s="46"/>
      <c r="R233" s="46"/>
      <c r="S233" s="65"/>
      <c r="T233" s="334" t="e">
        <f>SUM(D233:S233)</f>
        <v>#DIV/0!</v>
      </c>
      <c r="U233" s="335">
        <f t="shared" si="101"/>
        <v>0</v>
      </c>
      <c r="V233" s="335">
        <f t="shared" si="102"/>
        <v>0</v>
      </c>
      <c r="W233" s="335"/>
    </row>
    <row r="234" spans="1:31" hidden="1" x14ac:dyDescent="0.25">
      <c r="A234" s="336"/>
      <c r="B234" s="64"/>
      <c r="C234" s="334"/>
      <c r="D234" s="35"/>
      <c r="E234" s="35"/>
      <c r="F234" s="35"/>
      <c r="G234" s="346"/>
      <c r="H234" s="65"/>
      <c r="I234" s="35"/>
      <c r="J234" s="65"/>
      <c r="K234" s="65"/>
      <c r="L234" s="35"/>
      <c r="M234" s="35"/>
      <c r="N234" s="65"/>
      <c r="O234" s="65"/>
      <c r="P234" s="46" t="e">
        <f t="shared" si="99"/>
        <v>#DIV/0!</v>
      </c>
      <c r="Q234" s="46"/>
      <c r="R234" s="46"/>
      <c r="S234" s="65"/>
      <c r="T234" s="334"/>
      <c r="U234" s="335">
        <f t="shared" si="101"/>
        <v>0</v>
      </c>
      <c r="V234" s="335">
        <f t="shared" si="102"/>
        <v>0</v>
      </c>
      <c r="W234" s="335"/>
    </row>
    <row r="235" spans="1:31" ht="30" hidden="1" x14ac:dyDescent="0.25">
      <c r="A235" s="336" t="s">
        <v>2151</v>
      </c>
      <c r="B235" s="64" t="s">
        <v>2152</v>
      </c>
      <c r="C235" s="334"/>
      <c r="D235" s="35"/>
      <c r="E235" s="35"/>
      <c r="F235" s="35"/>
      <c r="G235" s="35"/>
      <c r="H235" s="107"/>
      <c r="I235" s="35"/>
      <c r="J235" s="107"/>
      <c r="K235" s="107"/>
      <c r="L235" s="35"/>
      <c r="M235" s="35"/>
      <c r="N235" s="107"/>
      <c r="O235" s="107"/>
      <c r="P235" s="46"/>
      <c r="Q235" s="46"/>
      <c r="R235" s="46"/>
      <c r="S235" s="367"/>
      <c r="T235" s="331">
        <f>+D235+G235+J235+N235+S235</f>
        <v>0</v>
      </c>
      <c r="U235" s="335">
        <f t="shared" si="101"/>
        <v>0</v>
      </c>
      <c r="V235" s="335">
        <f t="shared" si="102"/>
        <v>0</v>
      </c>
      <c r="W235" s="335"/>
    </row>
    <row r="236" spans="1:31" ht="30" hidden="1" x14ac:dyDescent="0.25">
      <c r="A236" s="336" t="s">
        <v>2153</v>
      </c>
      <c r="B236" s="64" t="s">
        <v>2154</v>
      </c>
      <c r="C236" s="334">
        <v>0.15</v>
      </c>
      <c r="D236" s="35"/>
      <c r="E236" s="35"/>
      <c r="F236" s="35"/>
      <c r="G236" s="35"/>
      <c r="H236" s="107"/>
      <c r="I236" s="35"/>
      <c r="J236" s="35"/>
      <c r="K236" s="35"/>
      <c r="L236" s="35"/>
      <c r="M236" s="35"/>
      <c r="N236" s="35"/>
      <c r="O236" s="35"/>
      <c r="P236" s="46"/>
      <c r="Q236" s="46"/>
      <c r="R236" s="46"/>
      <c r="S236" s="35">
        <v>1</v>
      </c>
      <c r="T236" s="331">
        <f>+D236+G236+J236+N236+S236</f>
        <v>1</v>
      </c>
      <c r="U236" s="335">
        <f t="shared" si="101"/>
        <v>0</v>
      </c>
      <c r="V236" s="335">
        <f t="shared" si="102"/>
        <v>0</v>
      </c>
      <c r="W236" s="335"/>
    </row>
    <row r="237" spans="1:31" x14ac:dyDescent="0.25">
      <c r="A237" s="40"/>
      <c r="B237" s="36" t="s">
        <v>1896</v>
      </c>
      <c r="C237" s="334">
        <f>SUM(C223:C236)</f>
        <v>1</v>
      </c>
      <c r="D237" s="528"/>
      <c r="E237" s="529"/>
      <c r="F237" s="529"/>
      <c r="G237" s="529"/>
      <c r="H237" s="529"/>
      <c r="I237" s="529"/>
      <c r="J237" s="529"/>
      <c r="K237" s="529"/>
      <c r="L237" s="529"/>
      <c r="M237" s="529"/>
      <c r="N237" s="529"/>
      <c r="O237" s="529"/>
      <c r="P237" s="529"/>
      <c r="Q237" s="529"/>
      <c r="R237" s="529"/>
      <c r="S237" s="529"/>
      <c r="T237" s="530"/>
      <c r="U237" s="335"/>
      <c r="V237" s="335"/>
      <c r="W237" s="335"/>
    </row>
    <row r="238" spans="1:31" x14ac:dyDescent="0.25">
      <c r="A238" s="531" t="s">
        <v>1908</v>
      </c>
      <c r="B238" s="532"/>
      <c r="C238" s="334"/>
      <c r="D238" s="331">
        <f>+D223*$C$223+D224*$C$224+D225*$C$225+D226*$C$226+D227*$C$227+D228*$C$228+D229*$C$229+D230*$C$230+D231*$C$231+D232*$C$232+D233*$C$233+D234*$C$234</f>
        <v>0.2</v>
      </c>
      <c r="E238" s="331">
        <f>+E223*$C$223+E224*$C$224+E225*$C$225+E226*$C$226+E227*$C$227+E228*$C$228+E229*$C$229+E230*$C$230+E231*$C$231+E232*$C$232+E233*$C$233+E234*$C$234</f>
        <v>0.16700000000000001</v>
      </c>
      <c r="F238" s="331">
        <f>+E238/D238</f>
        <v>0.83499999999999996</v>
      </c>
      <c r="G238" s="331">
        <f>+G223*$C$223+G224*$C$224+G225*$C$225+G226*$C$226+G227*$C$227+G228*$C$228+G229*$C$229+G230*$C$230+G231*$C$231+G232*$C$232+G233*$C$233+G234*$C$234</f>
        <v>0.19000000000000003</v>
      </c>
      <c r="H238" s="331">
        <f>+H223*$C$223+H224*$C$224+H225*$C$225+H226*$C$226+H227*$C$227+H228*$C$228+H229*$C$229+H230*$C$230+H231*$C$231+H232*$C$232+H233*$C$233+H234*$C$234</f>
        <v>0.14500000000000002</v>
      </c>
      <c r="I238" s="331">
        <f>+H238/G238</f>
        <v>0.76315789473684204</v>
      </c>
      <c r="J238" s="331">
        <f>+J223*$C$223+J224*$C$224+J225*$C$225+J226*$C$226+J227*$C$227+J228*$C$228+J229*$C$229+J230*$C$230+J231*$C$231+J232*$C$232+J233*$C$233+J234*$C$234</f>
        <v>0.14990000000000001</v>
      </c>
      <c r="K238" s="331">
        <f>+K223*$C$223+K224*$C$224+K225*$C$225+K226*$C$226+K227*$C$227+K228*$C$228+K229*$C$229+K230*$C$230+K231*$C$231+K232*$C$232+K233*$C$233+K234*$C$234</f>
        <v>0.128025</v>
      </c>
      <c r="L238" s="331">
        <f>+K238/J238</f>
        <v>0.85406937958639084</v>
      </c>
      <c r="M238" s="331">
        <f>+M223*$C$223+M224*$C$224+M225*$C$225+M226*$C$226+M227*$C$227+M228*$C$228+M229*$C$229+M230*$C$230+M231*$C$231+M232*$C$232+M233*$C$233+M234*$C$234</f>
        <v>2.0000000000000004E-2</v>
      </c>
      <c r="N238" s="331">
        <f>+N223*$C$223+N224*$C$224+N225*$C$225+N226*$C$226+N227*$C$227+N228*$C$228+N229*$C$229+N230*$C$230+N231*$C$231+N232*$C$232+N233*$C$233+N234*$C$234</f>
        <v>0.18490000000000001</v>
      </c>
      <c r="O238" s="331">
        <f>+O223*$C$223+O224*$C$224+O225*$C$225+O226*$C$226+O227*$C$227+O228*$C$228+O229*$C$229+O230*$C$230+O231*$C$231+O232*$C$232+O233*$C$233+O234*$C$234</f>
        <v>0.17300000000000001</v>
      </c>
      <c r="P238" s="331">
        <f>+O238/N238</f>
        <v>0.93564088696592751</v>
      </c>
      <c r="Q238" s="331">
        <f t="shared" ref="Q238:R238" si="105">+Q223*$C$223+Q224*$C$224+Q225*$C$225+Q226*$C$226+Q227*$C$227+Q228*$C$228+Q229*$C$229+Q230*$C$230+Q231*$C$231+Q232*$C$232+Q233*$C$233+Q234*$C$234</f>
        <v>0</v>
      </c>
      <c r="R238" s="331">
        <f t="shared" si="105"/>
        <v>8.9999999999999993E-3</v>
      </c>
      <c r="S238" s="331">
        <f>+S223*$C$223+S224*$C$224+S225*$C$225+S226*$C$226+S227*$C$227+S228*$C$228+S229*$C$229+S230*$C$230+S231*$C$231+S232*$C$232+S233*$C$233+S234*$C$234+S235*C235+S236*C236</f>
        <v>0.27515000000000001</v>
      </c>
      <c r="T238" s="331">
        <f>+D238+G238+J238+N238+S238</f>
        <v>0.99995000000000012</v>
      </c>
      <c r="U238" s="335">
        <f>+D238+G238+J238</f>
        <v>0.53990000000000005</v>
      </c>
      <c r="V238" s="335">
        <f>+E238+H238+K238</f>
        <v>0.44002500000000005</v>
      </c>
      <c r="W238" s="335">
        <f t="shared" si="103"/>
        <v>0.81501203926653087</v>
      </c>
    </row>
    <row r="239" spans="1:31" x14ac:dyDescent="0.25">
      <c r="A239" s="368"/>
      <c r="B239" s="368"/>
      <c r="C239" s="351"/>
      <c r="D239" s="351"/>
      <c r="E239" s="351"/>
      <c r="F239" s="351"/>
      <c r="G239" s="351"/>
      <c r="H239" s="351"/>
      <c r="I239" s="351"/>
      <c r="J239" s="351"/>
      <c r="K239" s="351"/>
      <c r="L239" s="351"/>
      <c r="M239" s="351"/>
      <c r="N239" s="351"/>
      <c r="O239" s="351"/>
      <c r="P239" s="351"/>
      <c r="Q239" s="351"/>
      <c r="R239" s="351"/>
      <c r="S239" s="351"/>
      <c r="T239" s="351"/>
      <c r="U239" s="351"/>
      <c r="V239" s="351"/>
      <c r="W239" s="351"/>
    </row>
    <row r="240" spans="1:31" ht="18.75" x14ac:dyDescent="0.3">
      <c r="A240" s="535" t="s">
        <v>1</v>
      </c>
      <c r="B240" s="535"/>
      <c r="C240" s="535"/>
      <c r="D240" s="535"/>
      <c r="E240" s="535"/>
      <c r="F240" s="535"/>
      <c r="G240" s="535"/>
      <c r="H240" s="535"/>
      <c r="I240" s="535"/>
      <c r="J240" s="535"/>
      <c r="K240" s="535"/>
      <c r="L240" s="535"/>
      <c r="M240" s="535"/>
      <c r="N240" s="535"/>
      <c r="O240" s="535"/>
      <c r="P240" s="535"/>
      <c r="Q240" s="535"/>
      <c r="R240" s="535"/>
      <c r="S240" s="535"/>
      <c r="T240" s="535"/>
      <c r="U240" s="324"/>
      <c r="V240" s="324"/>
      <c r="W240" s="324"/>
    </row>
    <row r="241" spans="1:33" ht="18.75" x14ac:dyDescent="0.3">
      <c r="A241" s="535" t="s">
        <v>1884</v>
      </c>
      <c r="B241" s="535"/>
      <c r="C241" s="535"/>
      <c r="D241" s="535"/>
      <c r="E241" s="535"/>
      <c r="F241" s="535"/>
      <c r="G241" s="535"/>
      <c r="H241" s="535"/>
      <c r="I241" s="535"/>
      <c r="J241" s="535"/>
      <c r="K241" s="535"/>
      <c r="L241" s="535"/>
      <c r="M241" s="535"/>
      <c r="N241" s="535"/>
      <c r="O241" s="535"/>
      <c r="P241" s="535"/>
      <c r="Q241" s="535"/>
      <c r="R241" s="535"/>
      <c r="S241" s="535"/>
      <c r="T241" s="535"/>
      <c r="U241" s="324"/>
      <c r="V241" s="324"/>
      <c r="W241" s="324"/>
    </row>
    <row r="242" spans="1:33" ht="18.75" x14ac:dyDescent="0.3">
      <c r="A242" s="535" t="s">
        <v>1885</v>
      </c>
      <c r="B242" s="535"/>
      <c r="C242" s="535"/>
      <c r="D242" s="535"/>
      <c r="E242" s="535"/>
      <c r="F242" s="535"/>
      <c r="G242" s="535"/>
      <c r="H242" s="535"/>
      <c r="I242" s="535"/>
      <c r="J242" s="535"/>
      <c r="K242" s="535"/>
      <c r="L242" s="535"/>
      <c r="M242" s="535"/>
      <c r="N242" s="535"/>
      <c r="O242" s="535"/>
      <c r="P242" s="535"/>
      <c r="Q242" s="535"/>
      <c r="R242" s="535"/>
      <c r="S242" s="535"/>
      <c r="T242" s="535"/>
      <c r="U242" s="324"/>
      <c r="V242" s="324"/>
      <c r="W242" s="324"/>
    </row>
    <row r="243" spans="1:33" ht="18.75" x14ac:dyDescent="0.3">
      <c r="A243" s="535" t="s">
        <v>2155</v>
      </c>
      <c r="B243" s="535"/>
      <c r="C243" s="535"/>
      <c r="D243" s="535"/>
      <c r="E243" s="535"/>
      <c r="F243" s="535"/>
      <c r="G243" s="535"/>
      <c r="H243" s="535"/>
      <c r="I243" s="535"/>
      <c r="J243" s="535"/>
      <c r="K243" s="535"/>
      <c r="L243" s="535"/>
      <c r="M243" s="535"/>
      <c r="N243" s="535"/>
      <c r="O243" s="535"/>
      <c r="P243" s="535"/>
      <c r="Q243" s="535"/>
      <c r="R243" s="535"/>
      <c r="S243" s="535"/>
      <c r="T243" s="535"/>
      <c r="U243" s="324"/>
      <c r="V243" s="324"/>
      <c r="W243" s="324"/>
    </row>
    <row r="244" spans="1:33" ht="18.75" x14ac:dyDescent="0.3">
      <c r="A244" s="535" t="s">
        <v>2224</v>
      </c>
      <c r="B244" s="535"/>
      <c r="C244" s="535"/>
      <c r="D244" s="535"/>
      <c r="E244" s="535"/>
      <c r="F244" s="535"/>
      <c r="G244" s="535"/>
      <c r="H244" s="535"/>
      <c r="I244" s="535"/>
      <c r="J244" s="535"/>
      <c r="K244" s="535"/>
      <c r="L244" s="535"/>
      <c r="M244" s="535"/>
      <c r="N244" s="535"/>
      <c r="O244" s="535"/>
      <c r="P244" s="535"/>
      <c r="Q244" s="535"/>
      <c r="R244" s="535"/>
      <c r="S244" s="535"/>
      <c r="T244" s="535"/>
      <c r="U244" s="324"/>
      <c r="V244" s="324"/>
      <c r="W244" s="324"/>
    </row>
    <row r="245" spans="1:33" ht="18.75" x14ac:dyDescent="0.25">
      <c r="A245" s="536"/>
      <c r="B245" s="536"/>
      <c r="H245" s="137"/>
    </row>
    <row r="246" spans="1:33" x14ac:dyDescent="0.25">
      <c r="A246" s="537" t="s">
        <v>1910</v>
      </c>
      <c r="B246" s="537" t="s">
        <v>1911</v>
      </c>
      <c r="C246" s="537" t="s">
        <v>1888</v>
      </c>
      <c r="D246" s="531" t="s">
        <v>1912</v>
      </c>
      <c r="E246" s="539"/>
      <c r="F246" s="539"/>
      <c r="G246" s="539"/>
      <c r="H246" s="539"/>
      <c r="I246" s="539"/>
      <c r="J246" s="539"/>
      <c r="K246" s="539"/>
      <c r="L246" s="539"/>
      <c r="M246" s="539"/>
      <c r="N246" s="539"/>
      <c r="O246" s="539"/>
      <c r="P246" s="539"/>
      <c r="Q246" s="539"/>
      <c r="R246" s="539"/>
      <c r="S246" s="539"/>
      <c r="T246" s="532"/>
      <c r="U246" s="534" t="s">
        <v>1890</v>
      </c>
      <c r="V246" s="534"/>
      <c r="W246" s="534"/>
    </row>
    <row r="247" spans="1:33" ht="45" x14ac:dyDescent="0.25">
      <c r="A247" s="538" t="s">
        <v>1910</v>
      </c>
      <c r="B247" s="538"/>
      <c r="C247" s="538" t="s">
        <v>1888</v>
      </c>
      <c r="D247" s="326">
        <v>2012</v>
      </c>
      <c r="E247" s="326" t="s">
        <v>1891</v>
      </c>
      <c r="F247" s="326" t="s">
        <v>1892</v>
      </c>
      <c r="G247" s="326">
        <v>2013</v>
      </c>
      <c r="H247" s="326" t="s">
        <v>1891</v>
      </c>
      <c r="I247" s="326" t="s">
        <v>1892</v>
      </c>
      <c r="J247" s="326">
        <v>2014</v>
      </c>
      <c r="K247" s="326" t="s">
        <v>1891</v>
      </c>
      <c r="L247" s="326" t="s">
        <v>1892</v>
      </c>
      <c r="M247" s="326"/>
      <c r="N247" s="326">
        <v>2015</v>
      </c>
      <c r="O247" s="326"/>
      <c r="P247" s="326"/>
      <c r="Q247" s="327" t="s">
        <v>1894</v>
      </c>
      <c r="R247" s="327" t="s">
        <v>1895</v>
      </c>
      <c r="S247" s="326">
        <v>2016</v>
      </c>
      <c r="T247" s="326" t="s">
        <v>1896</v>
      </c>
      <c r="U247" s="328" t="s">
        <v>1897</v>
      </c>
      <c r="V247" s="328" t="s">
        <v>1898</v>
      </c>
      <c r="W247" s="328" t="s">
        <v>1899</v>
      </c>
    </row>
    <row r="248" spans="1:33" hidden="1" x14ac:dyDescent="0.25">
      <c r="A248" s="143"/>
      <c r="B248" s="72"/>
      <c r="C248" s="369"/>
      <c r="D248" s="35"/>
      <c r="E248" s="35"/>
      <c r="F248" s="35"/>
      <c r="G248" s="35"/>
      <c r="H248" s="107"/>
      <c r="I248" s="35"/>
      <c r="J248" s="35"/>
      <c r="K248" s="35"/>
      <c r="L248" s="35"/>
      <c r="M248" s="35"/>
      <c r="N248" s="35"/>
      <c r="O248" s="35"/>
      <c r="P248" s="35"/>
      <c r="Q248" s="35"/>
      <c r="R248" s="35"/>
      <c r="S248" s="35"/>
      <c r="T248" s="331">
        <f t="shared" ref="T248:T283" si="106">+D248+G248+J248+N248+S248</f>
        <v>0</v>
      </c>
      <c r="U248" s="335"/>
      <c r="V248" s="335"/>
      <c r="W248" s="335"/>
    </row>
    <row r="249" spans="1:33" ht="45" x14ac:dyDescent="0.25">
      <c r="A249" s="143" t="s">
        <v>2156</v>
      </c>
      <c r="B249" s="72" t="s">
        <v>2157</v>
      </c>
      <c r="C249" s="369">
        <v>0.04</v>
      </c>
      <c r="D249" s="107">
        <f>100%*25%</f>
        <v>0.25</v>
      </c>
      <c r="E249" s="107">
        <v>0.25</v>
      </c>
      <c r="F249" s="107">
        <f t="shared" ref="F249:F278" si="107">+E249/D249</f>
        <v>1</v>
      </c>
      <c r="G249" s="107"/>
      <c r="H249" s="107"/>
      <c r="I249" s="107"/>
      <c r="J249" s="107"/>
      <c r="K249" s="107"/>
      <c r="L249" s="107"/>
      <c r="M249" s="107"/>
      <c r="N249" s="107">
        <f>100%*50%</f>
        <v>0.5</v>
      </c>
      <c r="O249" s="107">
        <v>0</v>
      </c>
      <c r="P249" s="46">
        <f t="shared" ref="P249:P281" si="108">+O249/N249</f>
        <v>0</v>
      </c>
      <c r="Q249" s="46"/>
      <c r="R249" s="46"/>
      <c r="S249" s="107">
        <f>100%*25%</f>
        <v>0.25</v>
      </c>
      <c r="T249" s="331">
        <f t="shared" si="106"/>
        <v>1</v>
      </c>
      <c r="U249" s="335">
        <f t="shared" ref="U249:U283" si="109">+D249+G249+J249+N249</f>
        <v>0.75</v>
      </c>
      <c r="V249" s="335">
        <f t="shared" ref="V249:V283" si="110">+E249+H249+K249+M249+O249+Q249+R249</f>
        <v>0.25</v>
      </c>
      <c r="W249" s="335">
        <f t="shared" ref="W249:W285" si="111">+V249/U249</f>
        <v>0.33333333333333331</v>
      </c>
    </row>
    <row r="250" spans="1:33" ht="78" customHeight="1" x14ac:dyDescent="0.25">
      <c r="A250" s="143" t="s">
        <v>2158</v>
      </c>
      <c r="B250" s="72" t="s">
        <v>2159</v>
      </c>
      <c r="C250" s="369">
        <v>0.04</v>
      </c>
      <c r="D250" s="35">
        <f>20%*25%+20%*25%+100%*25%+20%*25%</f>
        <v>0.39999999999999997</v>
      </c>
      <c r="E250" s="35">
        <f>20%*25%+20%*25%+0%*25%+20%*25%</f>
        <v>0.15000000000000002</v>
      </c>
      <c r="F250" s="35">
        <f t="shared" si="107"/>
        <v>0.37500000000000011</v>
      </c>
      <c r="G250" s="35">
        <f>20%*25%+20%*25%+20%*25%</f>
        <v>0.15000000000000002</v>
      </c>
      <c r="H250" s="35">
        <f>20%*25%+20%*25%+20%*25%</f>
        <v>0.15000000000000002</v>
      </c>
      <c r="I250" s="35">
        <f t="shared" ref="I250:I283" si="112">+H250/G250</f>
        <v>1</v>
      </c>
      <c r="J250" s="35">
        <f>20%*50%+25%*50%</f>
        <v>0.22500000000000001</v>
      </c>
      <c r="K250" s="35">
        <f>20%*50%+25%*50%</f>
        <v>0.22500000000000001</v>
      </c>
      <c r="L250" s="35">
        <f t="shared" ref="L250:L278" si="113">+K250/J250</f>
        <v>1</v>
      </c>
      <c r="M250" s="35"/>
      <c r="N250" s="35">
        <v>0.11</v>
      </c>
      <c r="O250" s="35">
        <v>0.11</v>
      </c>
      <c r="P250" s="46">
        <f t="shared" si="108"/>
        <v>1</v>
      </c>
      <c r="Q250" s="46"/>
      <c r="R250" s="46"/>
      <c r="S250" s="35">
        <v>0.11</v>
      </c>
      <c r="T250" s="331">
        <f t="shared" si="106"/>
        <v>0.995</v>
      </c>
      <c r="U250" s="335">
        <f t="shared" si="109"/>
        <v>0.88500000000000001</v>
      </c>
      <c r="V250" s="335">
        <f t="shared" si="110"/>
        <v>0.63500000000000001</v>
      </c>
      <c r="W250" s="335">
        <f t="shared" si="111"/>
        <v>0.71751412429378536</v>
      </c>
    </row>
    <row r="251" spans="1:33" ht="30" x14ac:dyDescent="0.25">
      <c r="A251" s="143" t="s">
        <v>2160</v>
      </c>
      <c r="B251" s="72" t="s">
        <v>2161</v>
      </c>
      <c r="C251" s="369">
        <v>0.04</v>
      </c>
      <c r="D251" s="35">
        <v>0</v>
      </c>
      <c r="E251" s="35">
        <v>0</v>
      </c>
      <c r="F251" s="35">
        <v>0</v>
      </c>
      <c r="G251" s="35">
        <f>25%*50%+100%*25%+100%*25%</f>
        <v>0.625</v>
      </c>
      <c r="H251" s="35">
        <f>25%*50%+100%*25%+25%*30%</f>
        <v>0.45</v>
      </c>
      <c r="I251" s="35">
        <f t="shared" si="112"/>
        <v>0.72</v>
      </c>
      <c r="J251" s="35">
        <f>25%*50%</f>
        <v>0.125</v>
      </c>
      <c r="K251" s="35">
        <f>25%*50%</f>
        <v>0.125</v>
      </c>
      <c r="L251" s="35">
        <f t="shared" si="113"/>
        <v>1</v>
      </c>
      <c r="M251" s="35">
        <f>30%*70%</f>
        <v>0.21</v>
      </c>
      <c r="N251" s="35">
        <f>25%*50%</f>
        <v>0.125</v>
      </c>
      <c r="O251" s="35">
        <v>0.13</v>
      </c>
      <c r="P251" s="46">
        <f t="shared" si="108"/>
        <v>1.04</v>
      </c>
      <c r="Q251" s="46"/>
      <c r="R251" s="46"/>
      <c r="S251" s="35">
        <f>25%*50%</f>
        <v>0.125</v>
      </c>
      <c r="T251" s="331">
        <f t="shared" si="106"/>
        <v>1</v>
      </c>
      <c r="U251" s="335">
        <f t="shared" si="109"/>
        <v>0.875</v>
      </c>
      <c r="V251" s="335">
        <f t="shared" si="110"/>
        <v>0.91499999999999992</v>
      </c>
      <c r="W251" s="335">
        <f t="shared" si="111"/>
        <v>1.0457142857142856</v>
      </c>
    </row>
    <row r="252" spans="1:33" ht="30" x14ac:dyDescent="0.25">
      <c r="A252" s="143" t="s">
        <v>2162</v>
      </c>
      <c r="B252" s="72" t="s">
        <v>2163</v>
      </c>
      <c r="C252" s="369">
        <v>0.04</v>
      </c>
      <c r="D252" s="35">
        <v>0.25</v>
      </c>
      <c r="E252" s="35">
        <v>0.25</v>
      </c>
      <c r="F252" s="35">
        <f t="shared" si="107"/>
        <v>1</v>
      </c>
      <c r="G252" s="35">
        <v>0.75</v>
      </c>
      <c r="H252" s="35">
        <v>0.75</v>
      </c>
      <c r="I252" s="35">
        <f t="shared" si="112"/>
        <v>1</v>
      </c>
      <c r="J252" s="35"/>
      <c r="K252" s="35"/>
      <c r="L252" s="35"/>
      <c r="M252" s="35"/>
      <c r="N252" s="35"/>
      <c r="O252" s="35"/>
      <c r="P252" s="46"/>
      <c r="Q252" s="46"/>
      <c r="R252" s="46"/>
      <c r="S252" s="35"/>
      <c r="T252" s="331">
        <f t="shared" si="106"/>
        <v>1</v>
      </c>
      <c r="U252" s="335">
        <f t="shared" si="109"/>
        <v>1</v>
      </c>
      <c r="V252" s="335">
        <f t="shared" si="110"/>
        <v>1</v>
      </c>
      <c r="W252" s="335">
        <f t="shared" si="111"/>
        <v>1</v>
      </c>
    </row>
    <row r="253" spans="1:33" x14ac:dyDescent="0.25">
      <c r="A253" s="143" t="s">
        <v>2164</v>
      </c>
      <c r="B253" s="72" t="s">
        <v>2165</v>
      </c>
      <c r="C253" s="369">
        <v>0.04</v>
      </c>
      <c r="D253" s="35">
        <v>0.2</v>
      </c>
      <c r="E253" s="35">
        <v>0.2</v>
      </c>
      <c r="F253" s="35">
        <f t="shared" si="107"/>
        <v>1</v>
      </c>
      <c r="G253" s="35">
        <v>0.2</v>
      </c>
      <c r="H253" s="35">
        <v>0.2</v>
      </c>
      <c r="I253" s="35">
        <f t="shared" si="112"/>
        <v>1</v>
      </c>
      <c r="J253" s="35">
        <v>0.2</v>
      </c>
      <c r="K253" s="35">
        <v>0.2</v>
      </c>
      <c r="L253" s="35">
        <f t="shared" si="113"/>
        <v>1</v>
      </c>
      <c r="M253" s="35"/>
      <c r="N253" s="35">
        <v>0.2</v>
      </c>
      <c r="O253" s="35">
        <v>0.2</v>
      </c>
      <c r="P253" s="46">
        <f t="shared" si="108"/>
        <v>1</v>
      </c>
      <c r="Q253" s="46"/>
      <c r="R253" s="46"/>
      <c r="S253" s="35">
        <v>0.2</v>
      </c>
      <c r="T253" s="331">
        <f t="shared" si="106"/>
        <v>1</v>
      </c>
      <c r="U253" s="335">
        <f t="shared" si="109"/>
        <v>0.8</v>
      </c>
      <c r="V253" s="335">
        <f t="shared" si="110"/>
        <v>0.8</v>
      </c>
      <c r="W253" s="335">
        <f t="shared" si="111"/>
        <v>1</v>
      </c>
      <c r="Y253" s="526">
        <v>2012</v>
      </c>
      <c r="Z253" s="527"/>
      <c r="AA253" s="527"/>
      <c r="AB253" s="526">
        <v>2013</v>
      </c>
      <c r="AC253" s="527"/>
      <c r="AD253" s="527"/>
      <c r="AE253" s="526">
        <v>2014</v>
      </c>
      <c r="AF253" s="527"/>
      <c r="AG253" s="527"/>
    </row>
    <row r="254" spans="1:33" ht="30" x14ac:dyDescent="0.25">
      <c r="A254" s="143" t="s">
        <v>2166</v>
      </c>
      <c r="B254" s="72" t="s">
        <v>2167</v>
      </c>
      <c r="C254" s="369">
        <v>0.04</v>
      </c>
      <c r="D254" s="35">
        <f>20%*50%</f>
        <v>0.1</v>
      </c>
      <c r="E254" s="35">
        <f>20%*50%</f>
        <v>0.1</v>
      </c>
      <c r="F254" s="35">
        <f t="shared" si="107"/>
        <v>1</v>
      </c>
      <c r="G254" s="35">
        <f>20%*50%+25%*50%</f>
        <v>0.22500000000000001</v>
      </c>
      <c r="H254" s="35">
        <f>20%*50%+25%*50%</f>
        <v>0.22500000000000001</v>
      </c>
      <c r="I254" s="35">
        <f t="shared" si="112"/>
        <v>1</v>
      </c>
      <c r="J254" s="35">
        <f>20%*50%+25%*50%</f>
        <v>0.22500000000000001</v>
      </c>
      <c r="K254" s="35">
        <f>20%*50%+25%*50%</f>
        <v>0.22500000000000001</v>
      </c>
      <c r="L254" s="35">
        <f t="shared" si="113"/>
        <v>1</v>
      </c>
      <c r="M254" s="35"/>
      <c r="N254" s="35">
        <f>20%*50%+25%*50%</f>
        <v>0.22500000000000001</v>
      </c>
      <c r="O254" s="35">
        <f>20%*50%+25%*50%</f>
        <v>0.22500000000000001</v>
      </c>
      <c r="P254" s="46">
        <f t="shared" si="108"/>
        <v>1</v>
      </c>
      <c r="Q254" s="46"/>
      <c r="R254" s="46"/>
      <c r="S254" s="35">
        <f>20%*50%+25%*50%</f>
        <v>0.22500000000000001</v>
      </c>
      <c r="T254" s="331">
        <f t="shared" si="106"/>
        <v>1</v>
      </c>
      <c r="U254" s="335">
        <f t="shared" si="109"/>
        <v>0.77500000000000002</v>
      </c>
      <c r="V254" s="335">
        <f t="shared" si="110"/>
        <v>0.77500000000000002</v>
      </c>
      <c r="W254" s="335">
        <f t="shared" si="111"/>
        <v>1</v>
      </c>
      <c r="Y254" s="332">
        <f>SUM(D249:D254)</f>
        <v>1.2</v>
      </c>
      <c r="Z254" s="332">
        <f>SUM(E249:E254)</f>
        <v>0.95000000000000007</v>
      </c>
      <c r="AA254" s="332">
        <f>+Z254/Y254</f>
        <v>0.79166666666666674</v>
      </c>
      <c r="AB254" s="332">
        <f>SUM(G249:G254)</f>
        <v>1.95</v>
      </c>
      <c r="AC254" s="332">
        <f>SUM(H249:H254)</f>
        <v>1.7750000000000001</v>
      </c>
      <c r="AD254" s="332">
        <f>+AC254/AB254</f>
        <v>0.91025641025641035</v>
      </c>
      <c r="AE254" s="332">
        <f>SUM(J249:J254)</f>
        <v>0.77500000000000002</v>
      </c>
      <c r="AF254" s="332">
        <f>SUM(K249:K254)</f>
        <v>0.77500000000000002</v>
      </c>
      <c r="AG254" s="332">
        <f>+AF254/AE254</f>
        <v>1</v>
      </c>
    </row>
    <row r="255" spans="1:33" ht="30" x14ac:dyDescent="0.25">
      <c r="A255" s="143" t="s">
        <v>2168</v>
      </c>
      <c r="B255" s="234" t="s">
        <v>2169</v>
      </c>
      <c r="C255" s="369">
        <v>0.02</v>
      </c>
      <c r="D255" s="35">
        <f>100%*20%+100%*20%+20%*20%+100%*20%+20%*20%</f>
        <v>0.68000000000000016</v>
      </c>
      <c r="E255" s="35">
        <f>100%*20%+100%*20%+20%*20%+100%*20%+20%*0%</f>
        <v>0.64000000000000012</v>
      </c>
      <c r="F255" s="35">
        <f t="shared" si="107"/>
        <v>0.94117647058823528</v>
      </c>
      <c r="G255" s="35">
        <f>20%*20%+20%*20%</f>
        <v>8.0000000000000016E-2</v>
      </c>
      <c r="H255" s="35">
        <f>20%*20%+20%*20%</f>
        <v>8.0000000000000016E-2</v>
      </c>
      <c r="I255" s="35">
        <f t="shared" si="112"/>
        <v>1</v>
      </c>
      <c r="J255" s="35">
        <f>20%*20%+20%*20%</f>
        <v>8.0000000000000016E-2</v>
      </c>
      <c r="K255" s="35">
        <f>(20%*20%)*0.75+20%*20%</f>
        <v>7.0000000000000007E-2</v>
      </c>
      <c r="L255" s="35">
        <f t="shared" si="113"/>
        <v>0.87499999999999989</v>
      </c>
      <c r="M255" s="35"/>
      <c r="N255" s="35">
        <f>20%*20%+20%*20%</f>
        <v>8.0000000000000016E-2</v>
      </c>
      <c r="O255" s="35">
        <f>20%*20%+20%*20%</f>
        <v>8.0000000000000016E-2</v>
      </c>
      <c r="P255" s="46">
        <f t="shared" si="108"/>
        <v>1</v>
      </c>
      <c r="Q255" s="46"/>
      <c r="R255" s="46"/>
      <c r="S255" s="35">
        <f>20%*20%+20%*20%</f>
        <v>8.0000000000000016E-2</v>
      </c>
      <c r="T255" s="331">
        <f t="shared" si="106"/>
        <v>1.0000000000000004</v>
      </c>
      <c r="U255" s="335">
        <f t="shared" si="109"/>
        <v>0.92000000000000037</v>
      </c>
      <c r="V255" s="335">
        <f t="shared" si="110"/>
        <v>0.87000000000000033</v>
      </c>
      <c r="W255" s="335">
        <f t="shared" si="111"/>
        <v>0.94565217391304346</v>
      </c>
    </row>
    <row r="256" spans="1:33" ht="60.75" customHeight="1" x14ac:dyDescent="0.25">
      <c r="A256" s="143" t="s">
        <v>2170</v>
      </c>
      <c r="B256" s="72" t="s">
        <v>2171</v>
      </c>
      <c r="C256" s="369">
        <v>0.02</v>
      </c>
      <c r="D256" s="35"/>
      <c r="E256" s="35">
        <v>0.09</v>
      </c>
      <c r="F256" s="35">
        <v>1</v>
      </c>
      <c r="G256" s="107">
        <v>0.25</v>
      </c>
      <c r="H256" s="107">
        <v>0.25</v>
      </c>
      <c r="I256" s="107">
        <f t="shared" si="112"/>
        <v>1</v>
      </c>
      <c r="J256" s="107">
        <v>0.25</v>
      </c>
      <c r="K256" s="107">
        <v>0.25</v>
      </c>
      <c r="L256" s="107">
        <f t="shared" si="113"/>
        <v>1</v>
      </c>
      <c r="M256" s="107"/>
      <c r="N256" s="107">
        <v>0.25</v>
      </c>
      <c r="O256" s="107">
        <v>0</v>
      </c>
      <c r="P256" s="46">
        <f t="shared" si="108"/>
        <v>0</v>
      </c>
      <c r="Q256" s="46"/>
      <c r="R256" s="46"/>
      <c r="S256" s="107">
        <v>0.25</v>
      </c>
      <c r="T256" s="331">
        <f t="shared" si="106"/>
        <v>1</v>
      </c>
      <c r="U256" s="335">
        <f t="shared" si="109"/>
        <v>0.75</v>
      </c>
      <c r="V256" s="335">
        <f t="shared" si="110"/>
        <v>0.59</v>
      </c>
      <c r="W256" s="335">
        <f t="shared" si="111"/>
        <v>0.78666666666666663</v>
      </c>
    </row>
    <row r="257" spans="1:33" ht="34.5" customHeight="1" x14ac:dyDescent="0.25">
      <c r="A257" s="143" t="s">
        <v>2172</v>
      </c>
      <c r="B257" s="72" t="s">
        <v>2173</v>
      </c>
      <c r="C257" s="369">
        <v>0.02</v>
      </c>
      <c r="D257" s="35">
        <f>20%*15%+100%*15%+20%*15%+20%*15%+20%*15%+100%*15%+20%*10%</f>
        <v>0.44000000000000006</v>
      </c>
      <c r="E257" s="35">
        <f>20%*15%+100%*15%+20%*15%+20%*15%+20%*15%+100%*15%+20%*10%</f>
        <v>0.44000000000000006</v>
      </c>
      <c r="F257" s="35">
        <f t="shared" si="107"/>
        <v>1</v>
      </c>
      <c r="G257" s="35">
        <f>20%*15%+20%*15%+20%*15%+20%*15%+20%*10%</f>
        <v>0.14000000000000001</v>
      </c>
      <c r="H257" s="35">
        <f>20%*15%+20%*15%+20%*15%+20%*15%+20%*10%</f>
        <v>0.14000000000000001</v>
      </c>
      <c r="I257" s="35">
        <f t="shared" si="112"/>
        <v>1</v>
      </c>
      <c r="J257" s="35">
        <f>20%*15%+20%*15%+20%*15%+20%*15%+20%*10%</f>
        <v>0.14000000000000001</v>
      </c>
      <c r="K257" s="35">
        <f>20%*15%+(20%*15%)*0.67+20%*15%+20%*15%+20%*10%</f>
        <v>0.13009999999999999</v>
      </c>
      <c r="L257" s="35">
        <f t="shared" si="113"/>
        <v>0.92928571428571416</v>
      </c>
      <c r="M257" s="35"/>
      <c r="N257" s="35">
        <f>20%*15%+20%*15%+20%*15%+20%*15%+20%*10%</f>
        <v>0.14000000000000001</v>
      </c>
      <c r="O257" s="35">
        <f>20%*15%+20%*15%+20%*15%+20%*15%+(20%*10%)*0.75</f>
        <v>0.13500000000000001</v>
      </c>
      <c r="P257" s="46">
        <f t="shared" si="108"/>
        <v>0.9642857142857143</v>
      </c>
      <c r="Q257" s="46"/>
      <c r="R257" s="46"/>
      <c r="S257" s="35">
        <f>20%*15%+20%*15%+20%*15%+20%*15%+20%*10%</f>
        <v>0.14000000000000001</v>
      </c>
      <c r="T257" s="331">
        <f t="shared" si="106"/>
        <v>1</v>
      </c>
      <c r="U257" s="335">
        <f t="shared" si="109"/>
        <v>0.8600000000000001</v>
      </c>
      <c r="V257" s="335">
        <f t="shared" si="110"/>
        <v>0.84510000000000007</v>
      </c>
      <c r="W257" s="335">
        <f t="shared" si="111"/>
        <v>0.9826744186046511</v>
      </c>
    </row>
    <row r="258" spans="1:33" ht="30" x14ac:dyDescent="0.25">
      <c r="A258" s="143" t="s">
        <v>2174</v>
      </c>
      <c r="B258" s="72" t="s">
        <v>2175</v>
      </c>
      <c r="C258" s="369">
        <v>0.04</v>
      </c>
      <c r="D258" s="35">
        <v>1</v>
      </c>
      <c r="E258" s="35">
        <v>1</v>
      </c>
      <c r="F258" s="35">
        <f t="shared" si="107"/>
        <v>1</v>
      </c>
      <c r="G258" s="35"/>
      <c r="H258" s="107"/>
      <c r="I258" s="35"/>
      <c r="J258" s="35"/>
      <c r="K258" s="35"/>
      <c r="L258" s="35"/>
      <c r="M258" s="35"/>
      <c r="N258" s="35"/>
      <c r="O258" s="35"/>
      <c r="P258" s="46"/>
      <c r="Q258" s="46"/>
      <c r="R258" s="46"/>
      <c r="S258" s="35"/>
      <c r="T258" s="331">
        <f t="shared" si="106"/>
        <v>1</v>
      </c>
      <c r="U258" s="335">
        <f t="shared" si="109"/>
        <v>1</v>
      </c>
      <c r="V258" s="335">
        <f t="shared" si="110"/>
        <v>1</v>
      </c>
      <c r="W258" s="335">
        <f t="shared" si="111"/>
        <v>1</v>
      </c>
    </row>
    <row r="259" spans="1:33" ht="46.5" customHeight="1" x14ac:dyDescent="0.25">
      <c r="A259" s="143" t="s">
        <v>2176</v>
      </c>
      <c r="B259" s="72" t="s">
        <v>2177</v>
      </c>
      <c r="C259" s="369">
        <v>0.04</v>
      </c>
      <c r="D259" s="35">
        <v>0.2</v>
      </c>
      <c r="E259" s="35">
        <f>20%*90%</f>
        <v>0.18000000000000002</v>
      </c>
      <c r="F259" s="35">
        <f t="shared" si="107"/>
        <v>0.9</v>
      </c>
      <c r="G259" s="35">
        <v>0.2</v>
      </c>
      <c r="H259" s="35">
        <v>0.2</v>
      </c>
      <c r="I259" s="35">
        <f t="shared" si="112"/>
        <v>1</v>
      </c>
      <c r="J259" s="35">
        <v>0.2</v>
      </c>
      <c r="K259" s="35">
        <v>0.2</v>
      </c>
      <c r="L259" s="35">
        <f t="shared" si="113"/>
        <v>1</v>
      </c>
      <c r="M259" s="35"/>
      <c r="N259" s="35">
        <v>0.2</v>
      </c>
      <c r="O259" s="35">
        <v>0.2</v>
      </c>
      <c r="P259" s="46">
        <f t="shared" si="108"/>
        <v>1</v>
      </c>
      <c r="Q259" s="46"/>
      <c r="R259" s="46"/>
      <c r="S259" s="35">
        <v>0.2</v>
      </c>
      <c r="T259" s="331">
        <f t="shared" si="106"/>
        <v>1</v>
      </c>
      <c r="U259" s="335">
        <f t="shared" si="109"/>
        <v>0.8</v>
      </c>
      <c r="V259" s="335">
        <f t="shared" si="110"/>
        <v>0.78</v>
      </c>
      <c r="W259" s="335">
        <f t="shared" si="111"/>
        <v>0.97499999999999998</v>
      </c>
    </row>
    <row r="260" spans="1:33" ht="45.75" customHeight="1" x14ac:dyDescent="0.25">
      <c r="A260" s="143" t="s">
        <v>2178</v>
      </c>
      <c r="B260" s="72" t="s">
        <v>2179</v>
      </c>
      <c r="C260" s="369">
        <v>0.04</v>
      </c>
      <c r="D260" s="35">
        <v>0.2</v>
      </c>
      <c r="E260" s="35">
        <v>0.2</v>
      </c>
      <c r="F260" s="35">
        <f t="shared" si="107"/>
        <v>1</v>
      </c>
      <c r="G260" s="35">
        <v>0.2</v>
      </c>
      <c r="H260" s="35">
        <v>0.2</v>
      </c>
      <c r="I260" s="35">
        <f t="shared" si="112"/>
        <v>1</v>
      </c>
      <c r="J260" s="35">
        <v>0.2</v>
      </c>
      <c r="K260" s="35">
        <v>0.2</v>
      </c>
      <c r="L260" s="35">
        <f t="shared" si="113"/>
        <v>1</v>
      </c>
      <c r="M260" s="35"/>
      <c r="N260" s="35">
        <v>0.2</v>
      </c>
      <c r="O260" s="35">
        <v>0.2</v>
      </c>
      <c r="P260" s="46">
        <f t="shared" si="108"/>
        <v>1</v>
      </c>
      <c r="Q260" s="46"/>
      <c r="R260" s="46"/>
      <c r="S260" s="35">
        <v>0.2</v>
      </c>
      <c r="T260" s="331">
        <f t="shared" si="106"/>
        <v>1</v>
      </c>
      <c r="U260" s="335">
        <f t="shared" si="109"/>
        <v>0.8</v>
      </c>
      <c r="V260" s="335">
        <f t="shared" si="110"/>
        <v>0.8</v>
      </c>
      <c r="W260" s="335">
        <f t="shared" si="111"/>
        <v>1</v>
      </c>
    </row>
    <row r="261" spans="1:33" ht="47.25" customHeight="1" x14ac:dyDescent="0.25">
      <c r="A261" s="143" t="s">
        <v>2180</v>
      </c>
      <c r="B261" s="72" t="s">
        <v>2181</v>
      </c>
      <c r="C261" s="369">
        <v>0.04</v>
      </c>
      <c r="D261" s="35">
        <f>100%*25%+20%*25%+100%*25%+20%*25%</f>
        <v>0.60000000000000009</v>
      </c>
      <c r="E261" s="35">
        <f>100%*25%+20%*25%+100%*25%+20%*25%</f>
        <v>0.60000000000000009</v>
      </c>
      <c r="F261" s="35">
        <f t="shared" si="107"/>
        <v>1</v>
      </c>
      <c r="G261" s="35">
        <f>20%*25%+20%*25%</f>
        <v>0.1</v>
      </c>
      <c r="H261" s="35">
        <f>20%*25%+20%*25%</f>
        <v>0.1</v>
      </c>
      <c r="I261" s="35">
        <f t="shared" si="112"/>
        <v>1</v>
      </c>
      <c r="J261" s="35">
        <f>20%*25%+20%*25%</f>
        <v>0.1</v>
      </c>
      <c r="K261" s="35">
        <f>20%*25%+20%*25%</f>
        <v>0.1</v>
      </c>
      <c r="L261" s="35">
        <f t="shared" si="113"/>
        <v>1</v>
      </c>
      <c r="M261" s="35"/>
      <c r="N261" s="35">
        <f>20%*25%+20%*25%</f>
        <v>0.1</v>
      </c>
      <c r="O261" s="35">
        <v>0.1</v>
      </c>
      <c r="P261" s="46">
        <f t="shared" si="108"/>
        <v>1</v>
      </c>
      <c r="Q261" s="46"/>
      <c r="R261" s="46"/>
      <c r="S261" s="35">
        <f>20%*25%+20%*25%</f>
        <v>0.1</v>
      </c>
      <c r="T261" s="331">
        <f t="shared" si="106"/>
        <v>1</v>
      </c>
      <c r="U261" s="335">
        <f t="shared" si="109"/>
        <v>0.9</v>
      </c>
      <c r="V261" s="335">
        <f t="shared" si="110"/>
        <v>0.9</v>
      </c>
      <c r="W261" s="335">
        <f t="shared" si="111"/>
        <v>1</v>
      </c>
    </row>
    <row r="262" spans="1:33" ht="46.5" customHeight="1" x14ac:dyDescent="0.25">
      <c r="A262" s="143" t="s">
        <v>2182</v>
      </c>
      <c r="B262" s="72" t="s">
        <v>2183</v>
      </c>
      <c r="C262" s="369">
        <v>0.04</v>
      </c>
      <c r="D262" s="35">
        <f>100%*50%</f>
        <v>0.5</v>
      </c>
      <c r="E262" s="35">
        <f>100%*50%</f>
        <v>0.5</v>
      </c>
      <c r="F262" s="35">
        <f t="shared" si="107"/>
        <v>1</v>
      </c>
      <c r="G262" s="35">
        <f>25%*50%</f>
        <v>0.125</v>
      </c>
      <c r="H262" s="35">
        <f>25%*50%</f>
        <v>0.125</v>
      </c>
      <c r="I262" s="35">
        <f t="shared" si="112"/>
        <v>1</v>
      </c>
      <c r="J262" s="35">
        <f>25%*50%</f>
        <v>0.125</v>
      </c>
      <c r="K262" s="35">
        <f>25%*50%</f>
        <v>0.125</v>
      </c>
      <c r="L262" s="35">
        <f t="shared" si="113"/>
        <v>1</v>
      </c>
      <c r="M262" s="35"/>
      <c r="N262" s="35">
        <f>25%*50%</f>
        <v>0.125</v>
      </c>
      <c r="O262" s="35">
        <v>0.13</v>
      </c>
      <c r="P262" s="46">
        <f t="shared" si="108"/>
        <v>1.04</v>
      </c>
      <c r="Q262" s="46"/>
      <c r="R262" s="46"/>
      <c r="S262" s="35">
        <f>25%*50%</f>
        <v>0.125</v>
      </c>
      <c r="T262" s="331">
        <f t="shared" si="106"/>
        <v>1</v>
      </c>
      <c r="U262" s="335">
        <f t="shared" si="109"/>
        <v>0.875</v>
      </c>
      <c r="V262" s="335">
        <f t="shared" si="110"/>
        <v>0.88</v>
      </c>
      <c r="W262" s="335">
        <f t="shared" si="111"/>
        <v>1.0057142857142858</v>
      </c>
    </row>
    <row r="263" spans="1:33" ht="31.5" customHeight="1" x14ac:dyDescent="0.25">
      <c r="A263" s="143" t="s">
        <v>2184</v>
      </c>
      <c r="B263" s="72" t="s">
        <v>2185</v>
      </c>
      <c r="C263" s="369">
        <v>0.04</v>
      </c>
      <c r="D263" s="35">
        <v>0.2</v>
      </c>
      <c r="E263" s="35">
        <v>0.2</v>
      </c>
      <c r="F263" s="35">
        <f t="shared" si="107"/>
        <v>1</v>
      </c>
      <c r="G263" s="35">
        <v>0.2</v>
      </c>
      <c r="H263" s="35">
        <v>0.2</v>
      </c>
      <c r="I263" s="35">
        <f t="shared" si="112"/>
        <v>1</v>
      </c>
      <c r="J263" s="35">
        <v>0.2</v>
      </c>
      <c r="K263" s="35">
        <f>20%*92%</f>
        <v>0.18400000000000002</v>
      </c>
      <c r="L263" s="35">
        <f t="shared" si="113"/>
        <v>0.92</v>
      </c>
      <c r="M263" s="35"/>
      <c r="N263" s="35">
        <v>0.2</v>
      </c>
      <c r="O263" s="35">
        <v>0.2</v>
      </c>
      <c r="P263" s="46">
        <f t="shared" si="108"/>
        <v>1</v>
      </c>
      <c r="Q263" s="46"/>
      <c r="R263" s="46"/>
      <c r="S263" s="35">
        <v>0.2</v>
      </c>
      <c r="T263" s="331">
        <f t="shared" si="106"/>
        <v>1</v>
      </c>
      <c r="U263" s="335">
        <f t="shared" si="109"/>
        <v>0.8</v>
      </c>
      <c r="V263" s="335">
        <f t="shared" si="110"/>
        <v>0.78400000000000003</v>
      </c>
      <c r="W263" s="335">
        <f t="shared" si="111"/>
        <v>0.98</v>
      </c>
    </row>
    <row r="264" spans="1:33" ht="48" customHeight="1" x14ac:dyDescent="0.25">
      <c r="A264" s="143" t="s">
        <v>2186</v>
      </c>
      <c r="B264" s="72" t="s">
        <v>2187</v>
      </c>
      <c r="C264" s="369">
        <v>0.04</v>
      </c>
      <c r="D264" s="35">
        <f>20%*50%+20%*50%</f>
        <v>0.2</v>
      </c>
      <c r="E264" s="35">
        <f>20%*50%+0%*50%</f>
        <v>0.1</v>
      </c>
      <c r="F264" s="35">
        <f t="shared" si="107"/>
        <v>0.5</v>
      </c>
      <c r="G264" s="35">
        <v>0.2</v>
      </c>
      <c r="H264" s="35">
        <v>0.2</v>
      </c>
      <c r="I264" s="35">
        <f t="shared" si="112"/>
        <v>1</v>
      </c>
      <c r="J264" s="35">
        <v>0.2</v>
      </c>
      <c r="K264" s="35">
        <v>0.2</v>
      </c>
      <c r="L264" s="35">
        <f t="shared" si="113"/>
        <v>1</v>
      </c>
      <c r="M264" s="35"/>
      <c r="N264" s="35">
        <v>0.2</v>
      </c>
      <c r="O264" s="35">
        <v>0.2</v>
      </c>
      <c r="P264" s="46">
        <f t="shared" si="108"/>
        <v>1</v>
      </c>
      <c r="Q264" s="46"/>
      <c r="R264" s="46"/>
      <c r="S264" s="35">
        <v>0.2</v>
      </c>
      <c r="T264" s="331">
        <f t="shared" si="106"/>
        <v>1</v>
      </c>
      <c r="U264" s="335">
        <f t="shared" si="109"/>
        <v>0.8</v>
      </c>
      <c r="V264" s="335">
        <f t="shared" si="110"/>
        <v>0.7</v>
      </c>
      <c r="W264" s="335">
        <f t="shared" si="111"/>
        <v>0.87499999999999989</v>
      </c>
    </row>
    <row r="265" spans="1:33" ht="30.75" customHeight="1" x14ac:dyDescent="0.25">
      <c r="A265" s="143" t="s">
        <v>2188</v>
      </c>
      <c r="B265" s="72" t="s">
        <v>2189</v>
      </c>
      <c r="C265" s="369">
        <v>0.04</v>
      </c>
      <c r="D265" s="35">
        <v>0</v>
      </c>
      <c r="E265" s="35">
        <v>0</v>
      </c>
      <c r="F265" s="35"/>
      <c r="G265" s="35">
        <v>0.25</v>
      </c>
      <c r="H265" s="107">
        <v>0</v>
      </c>
      <c r="I265" s="35">
        <f t="shared" si="112"/>
        <v>0</v>
      </c>
      <c r="J265" s="35">
        <v>0.25</v>
      </c>
      <c r="K265" s="35">
        <f>25%*50%</f>
        <v>0.125</v>
      </c>
      <c r="L265" s="35">
        <f t="shared" si="113"/>
        <v>0.5</v>
      </c>
      <c r="M265" s="35"/>
      <c r="N265" s="35">
        <v>0.25</v>
      </c>
      <c r="O265" s="35">
        <v>0</v>
      </c>
      <c r="P265" s="46">
        <f t="shared" si="108"/>
        <v>0</v>
      </c>
      <c r="Q265" s="46">
        <v>0.12</v>
      </c>
      <c r="R265" s="46"/>
      <c r="S265" s="35">
        <v>0.25</v>
      </c>
      <c r="T265" s="331">
        <f t="shared" si="106"/>
        <v>1</v>
      </c>
      <c r="U265" s="335">
        <f t="shared" si="109"/>
        <v>0.75</v>
      </c>
      <c r="V265" s="335">
        <f t="shared" si="110"/>
        <v>0.245</v>
      </c>
      <c r="W265" s="335">
        <f t="shared" si="111"/>
        <v>0.32666666666666666</v>
      </c>
      <c r="X265" s="325" t="s">
        <v>2190</v>
      </c>
      <c r="Y265" s="526">
        <v>2012</v>
      </c>
      <c r="Z265" s="527"/>
      <c r="AA265" s="527"/>
      <c r="AB265" s="526">
        <v>2013</v>
      </c>
      <c r="AC265" s="527"/>
      <c r="AD265" s="527"/>
      <c r="AE265" s="526">
        <v>2014</v>
      </c>
      <c r="AF265" s="527"/>
      <c r="AG265" s="527"/>
    </row>
    <row r="266" spans="1:33" ht="30.75" customHeight="1" x14ac:dyDescent="0.25">
      <c r="A266" s="42" t="s">
        <v>2191</v>
      </c>
      <c r="B266" s="72" t="s">
        <v>2192</v>
      </c>
      <c r="C266" s="369">
        <v>0.04</v>
      </c>
      <c r="D266" s="35">
        <v>0.2</v>
      </c>
      <c r="E266" s="35">
        <v>0.2</v>
      </c>
      <c r="F266" s="35">
        <f t="shared" si="107"/>
        <v>1</v>
      </c>
      <c r="G266" s="35">
        <v>0.2</v>
      </c>
      <c r="H266" s="107">
        <f>20%*75%</f>
        <v>0.15000000000000002</v>
      </c>
      <c r="I266" s="35">
        <f t="shared" si="112"/>
        <v>0.75000000000000011</v>
      </c>
      <c r="J266" s="35">
        <v>0.2</v>
      </c>
      <c r="K266" s="35">
        <v>0.2</v>
      </c>
      <c r="L266" s="35">
        <f t="shared" si="113"/>
        <v>1</v>
      </c>
      <c r="M266" s="35"/>
      <c r="N266" s="35">
        <v>0.2</v>
      </c>
      <c r="O266" s="35">
        <v>0.2</v>
      </c>
      <c r="P266" s="46">
        <f t="shared" si="108"/>
        <v>1</v>
      </c>
      <c r="Q266" s="46"/>
      <c r="R266" s="46"/>
      <c r="S266" s="35">
        <v>0.2</v>
      </c>
      <c r="T266" s="331">
        <f t="shared" si="106"/>
        <v>1</v>
      </c>
      <c r="U266" s="335">
        <f t="shared" si="109"/>
        <v>0.8</v>
      </c>
      <c r="V266" s="335">
        <f t="shared" si="110"/>
        <v>0.75</v>
      </c>
      <c r="W266" s="335">
        <f t="shared" si="111"/>
        <v>0.9375</v>
      </c>
      <c r="Y266" s="332">
        <f>SUM(D255:D266)</f>
        <v>4.2200000000000006</v>
      </c>
      <c r="Z266" s="332">
        <f>SUM(E255:E266)</f>
        <v>4.1500000000000004</v>
      </c>
      <c r="AA266" s="332">
        <f>+Z266/Y266</f>
        <v>0.9834123222748814</v>
      </c>
      <c r="AB266" s="332">
        <f>SUM(G255:G266)</f>
        <v>1.9450000000000001</v>
      </c>
      <c r="AC266" s="332">
        <f>SUM(H255:H266)</f>
        <v>1.645</v>
      </c>
      <c r="AD266" s="332">
        <f>+AC266/AB266</f>
        <v>0.84575835475578409</v>
      </c>
      <c r="AE266" s="332">
        <f>SUM(J255:J266)</f>
        <v>1.9450000000000001</v>
      </c>
      <c r="AF266" s="332">
        <f>SUM(K255:K266)</f>
        <v>1.7840999999999998</v>
      </c>
      <c r="AG266" s="332">
        <f>+AF266/AE266</f>
        <v>0.91727506426735206</v>
      </c>
    </row>
    <row r="267" spans="1:33" ht="31.5" customHeight="1" x14ac:dyDescent="0.25">
      <c r="A267" s="42" t="s">
        <v>2193</v>
      </c>
      <c r="B267" s="234" t="s">
        <v>1671</v>
      </c>
      <c r="C267" s="369">
        <v>0.04</v>
      </c>
      <c r="D267" s="35">
        <v>0.25</v>
      </c>
      <c r="E267" s="35">
        <f>25%*50%</f>
        <v>0.125</v>
      </c>
      <c r="F267" s="35">
        <f t="shared" si="107"/>
        <v>0.5</v>
      </c>
      <c r="G267" s="35">
        <f>100%*50%+25%*25%</f>
        <v>0.5625</v>
      </c>
      <c r="H267" s="35">
        <f>50%*50%+12.5%*25%</f>
        <v>0.28125</v>
      </c>
      <c r="I267" s="35">
        <f t="shared" si="112"/>
        <v>0.5</v>
      </c>
      <c r="J267" s="35">
        <f>25%*25%</f>
        <v>6.25E-2</v>
      </c>
      <c r="K267" s="35">
        <f>25%*25%</f>
        <v>6.25E-2</v>
      </c>
      <c r="L267" s="35">
        <f t="shared" si="113"/>
        <v>1</v>
      </c>
      <c r="M267" s="35">
        <f>50%*50%</f>
        <v>0.25</v>
      </c>
      <c r="N267" s="35">
        <f>25%*25%</f>
        <v>6.25E-2</v>
      </c>
      <c r="O267" s="35">
        <v>0.06</v>
      </c>
      <c r="P267" s="46">
        <f t="shared" si="108"/>
        <v>0.96</v>
      </c>
      <c r="Q267" s="46">
        <v>0.08</v>
      </c>
      <c r="R267" s="46">
        <v>0.08</v>
      </c>
      <c r="S267" s="35">
        <f>25%*25%</f>
        <v>6.25E-2</v>
      </c>
      <c r="T267" s="331">
        <f t="shared" si="106"/>
        <v>1</v>
      </c>
      <c r="U267" s="335">
        <f t="shared" si="109"/>
        <v>0.9375</v>
      </c>
      <c r="V267" s="335">
        <f t="shared" si="110"/>
        <v>0.93874999999999997</v>
      </c>
      <c r="W267" s="335">
        <f t="shared" si="111"/>
        <v>1.0013333333333334</v>
      </c>
    </row>
    <row r="268" spans="1:33" x14ac:dyDescent="0.25">
      <c r="A268" s="42"/>
      <c r="B268" s="273"/>
      <c r="C268" s="369"/>
      <c r="D268" s="35"/>
      <c r="E268" s="35"/>
      <c r="F268" s="35"/>
      <c r="G268" s="35"/>
      <c r="H268" s="107"/>
      <c r="I268" s="35"/>
      <c r="J268" s="35"/>
      <c r="K268" s="35"/>
      <c r="L268" s="35"/>
      <c r="M268" s="35"/>
      <c r="N268" s="35"/>
      <c r="O268" s="35"/>
      <c r="P268" s="46"/>
      <c r="Q268" s="46"/>
      <c r="R268" s="46"/>
      <c r="S268" s="35"/>
      <c r="T268" s="331">
        <f t="shared" si="106"/>
        <v>0</v>
      </c>
      <c r="U268" s="335">
        <f t="shared" si="109"/>
        <v>0</v>
      </c>
      <c r="V268" s="335">
        <f t="shared" si="110"/>
        <v>0</v>
      </c>
      <c r="W268" s="335"/>
    </row>
    <row r="269" spans="1:33" ht="30" x14ac:dyDescent="0.25">
      <c r="A269" s="42" t="s">
        <v>2194</v>
      </c>
      <c r="B269" s="273" t="s">
        <v>2195</v>
      </c>
      <c r="C269" s="369">
        <v>0.04</v>
      </c>
      <c r="D269" s="35">
        <v>1</v>
      </c>
      <c r="E269" s="35">
        <f>100%*50%</f>
        <v>0.5</v>
      </c>
      <c r="F269" s="35">
        <f t="shared" si="107"/>
        <v>0.5</v>
      </c>
      <c r="G269" s="35"/>
      <c r="H269" s="107"/>
      <c r="I269" s="35"/>
      <c r="J269" s="35"/>
      <c r="L269" s="35"/>
      <c r="M269" s="35">
        <v>0.5</v>
      </c>
      <c r="N269" s="35"/>
      <c r="O269" s="35"/>
      <c r="P269" s="46"/>
      <c r="Q269" s="46"/>
      <c r="R269" s="46"/>
      <c r="S269" s="35"/>
      <c r="T269" s="331">
        <f t="shared" si="106"/>
        <v>1</v>
      </c>
      <c r="U269" s="335">
        <f t="shared" si="109"/>
        <v>1</v>
      </c>
      <c r="V269" s="335">
        <f t="shared" si="110"/>
        <v>1</v>
      </c>
      <c r="W269" s="335">
        <f t="shared" si="111"/>
        <v>1</v>
      </c>
    </row>
    <row r="270" spans="1:33" ht="44.25" customHeight="1" x14ac:dyDescent="0.25">
      <c r="A270" s="42" t="s">
        <v>2196</v>
      </c>
      <c r="B270" s="273" t="s">
        <v>2197</v>
      </c>
      <c r="C270" s="369">
        <v>0.02</v>
      </c>
      <c r="D270" s="35">
        <f>100%*40%</f>
        <v>0.4</v>
      </c>
      <c r="E270" s="35">
        <f>50%*40%</f>
        <v>0.2</v>
      </c>
      <c r="F270" s="35">
        <f t="shared" si="107"/>
        <v>0.5</v>
      </c>
      <c r="G270" s="35">
        <f>25%*60%</f>
        <v>0.15</v>
      </c>
      <c r="H270" s="35">
        <f>25%*60%</f>
        <v>0.15</v>
      </c>
      <c r="I270" s="35">
        <f t="shared" si="112"/>
        <v>1</v>
      </c>
      <c r="J270" s="35">
        <f t="shared" ref="J270:S271" si="114">25%*60%</f>
        <v>0.15</v>
      </c>
      <c r="K270" s="35">
        <f t="shared" si="114"/>
        <v>0.15</v>
      </c>
      <c r="L270" s="35">
        <f t="shared" si="113"/>
        <v>1</v>
      </c>
      <c r="M270" s="35"/>
      <c r="N270" s="35">
        <f t="shared" si="114"/>
        <v>0.15</v>
      </c>
      <c r="O270" s="35">
        <v>0.15</v>
      </c>
      <c r="P270" s="46">
        <f t="shared" si="108"/>
        <v>1</v>
      </c>
      <c r="Q270" s="46">
        <v>0.2</v>
      </c>
      <c r="R270" s="46"/>
      <c r="S270" s="35">
        <f t="shared" si="114"/>
        <v>0.15</v>
      </c>
      <c r="T270" s="331">
        <f t="shared" si="106"/>
        <v>1</v>
      </c>
      <c r="U270" s="335">
        <f t="shared" si="109"/>
        <v>0.85000000000000009</v>
      </c>
      <c r="V270" s="335">
        <f t="shared" si="110"/>
        <v>0.85000000000000009</v>
      </c>
      <c r="W270" s="335">
        <f t="shared" si="111"/>
        <v>1</v>
      </c>
    </row>
    <row r="271" spans="1:33" ht="30.75" customHeight="1" x14ac:dyDescent="0.25">
      <c r="A271" s="42" t="s">
        <v>2198</v>
      </c>
      <c r="B271" s="273" t="s">
        <v>2199</v>
      </c>
      <c r="C271" s="369">
        <v>0.02</v>
      </c>
      <c r="D271" s="35">
        <f>100%*40%</f>
        <v>0.4</v>
      </c>
      <c r="E271" s="35">
        <f>50%*40%</f>
        <v>0.2</v>
      </c>
      <c r="F271" s="35">
        <f t="shared" si="107"/>
        <v>0.5</v>
      </c>
      <c r="G271" s="35">
        <f>25%*60%</f>
        <v>0.15</v>
      </c>
      <c r="H271" s="35">
        <f>25%*60%</f>
        <v>0.15</v>
      </c>
      <c r="I271" s="35">
        <f t="shared" si="112"/>
        <v>1</v>
      </c>
      <c r="J271" s="35">
        <f t="shared" si="114"/>
        <v>0.15</v>
      </c>
      <c r="K271" s="35">
        <f t="shared" si="114"/>
        <v>0.15</v>
      </c>
      <c r="L271" s="35">
        <f t="shared" si="113"/>
        <v>1</v>
      </c>
      <c r="M271" s="35"/>
      <c r="N271" s="35">
        <f t="shared" si="114"/>
        <v>0.15</v>
      </c>
      <c r="O271" s="35">
        <v>0.15</v>
      </c>
      <c r="P271" s="46">
        <f t="shared" si="108"/>
        <v>1</v>
      </c>
      <c r="Q271" s="46">
        <v>0.2</v>
      </c>
      <c r="R271" s="46"/>
      <c r="S271" s="35">
        <f t="shared" si="114"/>
        <v>0.15</v>
      </c>
      <c r="T271" s="331">
        <f t="shared" si="106"/>
        <v>1</v>
      </c>
      <c r="U271" s="335">
        <f t="shared" si="109"/>
        <v>0.85000000000000009</v>
      </c>
      <c r="V271" s="335">
        <f t="shared" si="110"/>
        <v>0.85000000000000009</v>
      </c>
      <c r="W271" s="335">
        <f t="shared" si="111"/>
        <v>1</v>
      </c>
    </row>
    <row r="272" spans="1:33" ht="60" hidden="1" x14ac:dyDescent="0.25">
      <c r="A272" s="42" t="s">
        <v>2200</v>
      </c>
      <c r="B272" s="273" t="s">
        <v>2201</v>
      </c>
      <c r="C272" s="369">
        <v>0.02</v>
      </c>
      <c r="D272" s="35">
        <v>0.75</v>
      </c>
      <c r="E272" s="35">
        <v>0.75</v>
      </c>
      <c r="F272" s="35">
        <f t="shared" si="107"/>
        <v>1</v>
      </c>
      <c r="G272" s="35">
        <v>0.25</v>
      </c>
      <c r="H272" s="35">
        <v>0.25</v>
      </c>
      <c r="I272" s="35">
        <f t="shared" si="112"/>
        <v>1</v>
      </c>
      <c r="J272" s="35"/>
      <c r="K272" s="35"/>
      <c r="L272" s="35"/>
      <c r="M272" s="35"/>
      <c r="N272" s="35"/>
      <c r="O272" s="35"/>
      <c r="P272" s="46"/>
      <c r="Q272" s="46"/>
      <c r="R272" s="46"/>
      <c r="S272" s="35"/>
      <c r="T272" s="331">
        <f t="shared" si="106"/>
        <v>1</v>
      </c>
      <c r="U272" s="335">
        <f t="shared" si="109"/>
        <v>1</v>
      </c>
      <c r="V272" s="335">
        <f t="shared" si="110"/>
        <v>1</v>
      </c>
      <c r="W272" s="335">
        <f t="shared" si="111"/>
        <v>1</v>
      </c>
    </row>
    <row r="273" spans="1:34" ht="30" hidden="1" x14ac:dyDescent="0.25">
      <c r="A273" s="42" t="s">
        <v>2202</v>
      </c>
      <c r="B273" s="273" t="s">
        <v>2203</v>
      </c>
      <c r="C273" s="369">
        <v>0.02</v>
      </c>
      <c r="D273" s="35">
        <v>1</v>
      </c>
      <c r="E273" s="35">
        <v>1</v>
      </c>
      <c r="F273" s="35">
        <f t="shared" si="107"/>
        <v>1</v>
      </c>
      <c r="G273" s="35"/>
      <c r="H273" s="107"/>
      <c r="I273" s="35"/>
      <c r="J273" s="35"/>
      <c r="K273" s="35"/>
      <c r="L273" s="35"/>
      <c r="M273" s="35"/>
      <c r="N273" s="35"/>
      <c r="O273" s="35"/>
      <c r="P273" s="46"/>
      <c r="Q273" s="46"/>
      <c r="R273" s="46"/>
      <c r="S273" s="35"/>
      <c r="T273" s="331">
        <f t="shared" si="106"/>
        <v>1</v>
      </c>
      <c r="U273" s="335">
        <f t="shared" si="109"/>
        <v>1</v>
      </c>
      <c r="V273" s="335">
        <f t="shared" si="110"/>
        <v>1</v>
      </c>
      <c r="W273" s="335">
        <f t="shared" si="111"/>
        <v>1</v>
      </c>
    </row>
    <row r="274" spans="1:34" ht="45" x14ac:dyDescent="0.25">
      <c r="A274" s="42" t="s">
        <v>2204</v>
      </c>
      <c r="B274" s="273" t="s">
        <v>2205</v>
      </c>
      <c r="C274" s="369">
        <v>0.02</v>
      </c>
      <c r="D274" s="35">
        <f>100%*25%+100%*25%</f>
        <v>0.5</v>
      </c>
      <c r="E274" s="35">
        <f>50%*25%+50%*25%</f>
        <v>0.25</v>
      </c>
      <c r="F274" s="35">
        <f t="shared" si="107"/>
        <v>0.5</v>
      </c>
      <c r="G274" s="35">
        <f>25%*50%</f>
        <v>0.125</v>
      </c>
      <c r="H274" s="107">
        <v>0</v>
      </c>
      <c r="I274" s="35">
        <f t="shared" si="112"/>
        <v>0</v>
      </c>
      <c r="J274" s="35">
        <f>25%*50%</f>
        <v>0.125</v>
      </c>
      <c r="K274" s="35">
        <f>25%*50%</f>
        <v>0.125</v>
      </c>
      <c r="L274" s="35">
        <f t="shared" si="113"/>
        <v>1</v>
      </c>
      <c r="M274" s="35"/>
      <c r="N274" s="35">
        <f>25%*50%</f>
        <v>0.125</v>
      </c>
      <c r="O274" s="35">
        <v>0.13</v>
      </c>
      <c r="P274" s="46">
        <f t="shared" si="108"/>
        <v>1.04</v>
      </c>
      <c r="Q274" s="46"/>
      <c r="R274" s="46"/>
      <c r="S274" s="35">
        <f>25%*50%</f>
        <v>0.125</v>
      </c>
      <c r="T274" s="331">
        <f t="shared" si="106"/>
        <v>1</v>
      </c>
      <c r="U274" s="335">
        <f t="shared" si="109"/>
        <v>0.875</v>
      </c>
      <c r="V274" s="335">
        <f t="shared" si="110"/>
        <v>0.505</v>
      </c>
      <c r="W274" s="335">
        <f t="shared" si="111"/>
        <v>0.57714285714285718</v>
      </c>
      <c r="X274" s="325" t="s">
        <v>2206</v>
      </c>
      <c r="Y274" s="526">
        <v>2012</v>
      </c>
      <c r="Z274" s="527"/>
      <c r="AA274" s="527"/>
      <c r="AB274" s="526">
        <v>2013</v>
      </c>
      <c r="AC274" s="527"/>
      <c r="AD274" s="527"/>
      <c r="AF274" s="526">
        <v>2013</v>
      </c>
      <c r="AG274" s="527"/>
      <c r="AH274" s="527"/>
    </row>
    <row r="275" spans="1:34" ht="58.5" customHeight="1" x14ac:dyDescent="0.25">
      <c r="A275" s="42" t="s">
        <v>2207</v>
      </c>
      <c r="B275" s="273" t="s">
        <v>2208</v>
      </c>
      <c r="C275" s="369">
        <v>0.02</v>
      </c>
      <c r="D275" s="35">
        <f>20%*25%+25%*25%+25%*25%</f>
        <v>0.17499999999999999</v>
      </c>
      <c r="E275" s="35">
        <f>(20%*100%)*25%+(25%*61%)*25%+(25%*62%)*25%</f>
        <v>0.12687500000000002</v>
      </c>
      <c r="F275" s="35">
        <f t="shared" si="107"/>
        <v>0.72500000000000009</v>
      </c>
      <c r="G275" s="107">
        <f>20%*25%+25%*25%+25%*25%+25%*25%</f>
        <v>0.23749999999999999</v>
      </c>
      <c r="H275" s="107">
        <f>20%*25%+25%*25%+25%*25%+25%*25%</f>
        <v>0.23749999999999999</v>
      </c>
      <c r="I275" s="107">
        <f t="shared" si="112"/>
        <v>1</v>
      </c>
      <c r="J275" s="107">
        <f>20%*25%+75%*25%</f>
        <v>0.23749999999999999</v>
      </c>
      <c r="K275" s="107">
        <f>20%*25%+75%*25%</f>
        <v>0.23749999999999999</v>
      </c>
      <c r="L275" s="107">
        <f t="shared" si="113"/>
        <v>1</v>
      </c>
      <c r="M275" s="107"/>
      <c r="N275" s="107">
        <f>20%*25%+75%*25%</f>
        <v>0.23749999999999999</v>
      </c>
      <c r="O275" s="107">
        <v>0.24</v>
      </c>
      <c r="P275" s="46">
        <f t="shared" si="108"/>
        <v>1.0105263157894737</v>
      </c>
      <c r="Q275" s="46"/>
      <c r="R275" s="46"/>
      <c r="S275" s="107">
        <f>20%*25%+25%*25%</f>
        <v>0.1125</v>
      </c>
      <c r="T275" s="331">
        <f t="shared" si="106"/>
        <v>1</v>
      </c>
      <c r="U275" s="335">
        <f t="shared" si="109"/>
        <v>0.88749999999999996</v>
      </c>
      <c r="V275" s="335">
        <f t="shared" si="110"/>
        <v>0.84187499999999993</v>
      </c>
      <c r="W275" s="335">
        <f t="shared" si="111"/>
        <v>0.94859154929577461</v>
      </c>
      <c r="Y275" s="332">
        <f>SUM(D267:D275)</f>
        <v>4.4749999999999996</v>
      </c>
      <c r="Z275" s="332">
        <f>SUM(E267:E275)</f>
        <v>3.151875</v>
      </c>
      <c r="AA275" s="332">
        <f>Z275/Y275</f>
        <v>0.70432960893854757</v>
      </c>
      <c r="AB275" s="332">
        <f>SUM(G267:G275)</f>
        <v>1.4750000000000001</v>
      </c>
      <c r="AC275" s="332">
        <f>SUM(H267:H275)</f>
        <v>1.0687500000000001</v>
      </c>
      <c r="AD275" s="332">
        <f>+AC275/AB275</f>
        <v>0.72457627118644075</v>
      </c>
      <c r="AE275" s="332">
        <f>SUM(J267:J275)</f>
        <v>0.72499999999999998</v>
      </c>
      <c r="AF275" s="332">
        <f>SUM(K267:K275)</f>
        <v>0.72499999999999998</v>
      </c>
      <c r="AG275" s="332">
        <f>+AF275/AE275</f>
        <v>1</v>
      </c>
      <c r="AH275" s="332"/>
    </row>
    <row r="276" spans="1:34" ht="30" x14ac:dyDescent="0.25">
      <c r="A276" s="42" t="s">
        <v>2209</v>
      </c>
      <c r="B276" s="36" t="s">
        <v>2210</v>
      </c>
      <c r="C276" s="334">
        <v>0.02</v>
      </c>
      <c r="D276" s="35">
        <v>0.2</v>
      </c>
      <c r="E276" s="35">
        <v>0.2</v>
      </c>
      <c r="F276" s="35">
        <f t="shared" si="107"/>
        <v>1</v>
      </c>
      <c r="G276" s="35">
        <v>0.2</v>
      </c>
      <c r="H276" s="35">
        <v>0.2</v>
      </c>
      <c r="I276" s="35">
        <f t="shared" si="112"/>
        <v>1</v>
      </c>
      <c r="J276" s="35">
        <v>0.2</v>
      </c>
      <c r="K276" s="35">
        <v>0.2</v>
      </c>
      <c r="L276" s="35">
        <f t="shared" si="113"/>
        <v>1</v>
      </c>
      <c r="M276" s="35"/>
      <c r="N276" s="35">
        <v>0.2</v>
      </c>
      <c r="O276" s="35">
        <v>0.2</v>
      </c>
      <c r="P276" s="46">
        <f t="shared" si="108"/>
        <v>1</v>
      </c>
      <c r="Q276" s="46"/>
      <c r="R276" s="46"/>
      <c r="S276" s="35">
        <v>0.2</v>
      </c>
      <c r="T276" s="331">
        <f t="shared" si="106"/>
        <v>1</v>
      </c>
      <c r="U276" s="335">
        <f t="shared" si="109"/>
        <v>0.8</v>
      </c>
      <c r="V276" s="335">
        <f t="shared" si="110"/>
        <v>0.8</v>
      </c>
      <c r="W276" s="335">
        <f t="shared" si="111"/>
        <v>1</v>
      </c>
    </row>
    <row r="277" spans="1:34" ht="21.75" customHeight="1" x14ac:dyDescent="0.25">
      <c r="A277" s="336" t="s">
        <v>2211</v>
      </c>
      <c r="B277" s="64" t="s">
        <v>2212</v>
      </c>
      <c r="C277" s="334">
        <v>0.02</v>
      </c>
      <c r="D277" s="346">
        <f>25%*100%+25%*20%+25%*20%</f>
        <v>0.35</v>
      </c>
      <c r="E277" s="346">
        <f>25%*100%+25%*20%+25%*20%</f>
        <v>0.35</v>
      </c>
      <c r="F277" s="35">
        <f t="shared" si="107"/>
        <v>1</v>
      </c>
      <c r="G277" s="346">
        <f>25%*100%+25%*20%+25%*20%</f>
        <v>0.35</v>
      </c>
      <c r="H277" s="346">
        <f>25%*20%+25%*20%</f>
        <v>0.1</v>
      </c>
      <c r="I277" s="35">
        <f t="shared" si="112"/>
        <v>0.28571428571428575</v>
      </c>
      <c r="J277" s="346">
        <f>25%*20%+25%*20%</f>
        <v>0.1</v>
      </c>
      <c r="K277" s="346">
        <f>25%*20%+25%*20%</f>
        <v>0.1</v>
      </c>
      <c r="L277" s="35">
        <f t="shared" si="113"/>
        <v>1</v>
      </c>
      <c r="M277" s="35"/>
      <c r="N277" s="346">
        <f t="shared" ref="N277:S277" si="115">25%*20%+25%*20%</f>
        <v>0.1</v>
      </c>
      <c r="O277" s="346">
        <f>25%*20%+(25%*20%)*0.6</f>
        <v>0.08</v>
      </c>
      <c r="P277" s="46">
        <f t="shared" si="108"/>
        <v>0.79999999999999993</v>
      </c>
      <c r="Q277" s="46"/>
      <c r="R277" s="46"/>
      <c r="S277" s="346">
        <f t="shared" si="115"/>
        <v>0.1</v>
      </c>
      <c r="T277" s="331">
        <f t="shared" si="106"/>
        <v>0.99999999999999989</v>
      </c>
      <c r="U277" s="335">
        <f t="shared" si="109"/>
        <v>0.89999999999999991</v>
      </c>
      <c r="V277" s="335">
        <f t="shared" si="110"/>
        <v>0.62999999999999989</v>
      </c>
      <c r="W277" s="335">
        <f t="shared" si="111"/>
        <v>0.7</v>
      </c>
      <c r="X277" s="325" t="s">
        <v>2213</v>
      </c>
    </row>
    <row r="278" spans="1:34" ht="22.5" customHeight="1" x14ac:dyDescent="0.25">
      <c r="A278" s="336" t="s">
        <v>2214</v>
      </c>
      <c r="B278" s="64" t="s">
        <v>2215</v>
      </c>
      <c r="C278" s="334">
        <v>0.02</v>
      </c>
      <c r="D278" s="346">
        <f>25%*100%+15%*100%+15%*20%+25%*100%</f>
        <v>0.68</v>
      </c>
      <c r="E278" s="346">
        <f>25%*100%+15%*50%+15%*20%+25%*50%</f>
        <v>0.48</v>
      </c>
      <c r="F278" s="35">
        <f t="shared" si="107"/>
        <v>0.70588235294117641</v>
      </c>
      <c r="G278" s="346">
        <f>15%*20%+20%*25%</f>
        <v>0.08</v>
      </c>
      <c r="H278" s="65">
        <f>15%*50%+25%*50%+20%*15%+25%*20%</f>
        <v>0.28000000000000003</v>
      </c>
      <c r="I278" s="35">
        <f t="shared" si="112"/>
        <v>3.5000000000000004</v>
      </c>
      <c r="J278" s="346">
        <f t="shared" ref="J278:S278" si="116">15%*20%+20%*25%</f>
        <v>0.08</v>
      </c>
      <c r="K278" s="346">
        <f t="shared" si="116"/>
        <v>0.08</v>
      </c>
      <c r="L278" s="35">
        <f t="shared" si="113"/>
        <v>1</v>
      </c>
      <c r="M278" s="35"/>
      <c r="N278" s="346">
        <f t="shared" si="116"/>
        <v>0.08</v>
      </c>
      <c r="O278" s="346">
        <v>0.08</v>
      </c>
      <c r="P278" s="46">
        <f t="shared" si="108"/>
        <v>1</v>
      </c>
      <c r="Q278" s="46"/>
      <c r="R278" s="46"/>
      <c r="S278" s="346">
        <f t="shared" si="116"/>
        <v>0.08</v>
      </c>
      <c r="T278" s="331">
        <f t="shared" si="106"/>
        <v>0.99999999999999989</v>
      </c>
      <c r="U278" s="335">
        <f t="shared" si="109"/>
        <v>0.91999999999999993</v>
      </c>
      <c r="V278" s="335">
        <f t="shared" si="110"/>
        <v>0.91999999999999993</v>
      </c>
      <c r="W278" s="335">
        <f t="shared" si="111"/>
        <v>1</v>
      </c>
    </row>
    <row r="279" spans="1:34" ht="56.25" hidden="1" customHeight="1" x14ac:dyDescent="0.25">
      <c r="A279" s="336" t="s">
        <v>2216</v>
      </c>
      <c r="B279" s="64" t="s">
        <v>1832</v>
      </c>
      <c r="C279" s="334">
        <v>0.02</v>
      </c>
      <c r="D279" s="346"/>
      <c r="E279" s="346"/>
      <c r="F279" s="35"/>
      <c r="G279" s="346">
        <v>1</v>
      </c>
      <c r="H279" s="65"/>
      <c r="I279" s="35"/>
      <c r="J279" s="346"/>
      <c r="K279" s="346"/>
      <c r="L279" s="35"/>
      <c r="M279" s="35"/>
      <c r="N279" s="346"/>
      <c r="O279" s="346"/>
      <c r="P279" s="46"/>
      <c r="Q279" s="46"/>
      <c r="R279" s="46"/>
      <c r="S279" s="346"/>
      <c r="T279" s="331">
        <f t="shared" si="106"/>
        <v>1</v>
      </c>
      <c r="U279" s="335">
        <f t="shared" si="109"/>
        <v>1</v>
      </c>
      <c r="V279" s="335">
        <f t="shared" si="110"/>
        <v>0</v>
      </c>
      <c r="W279" s="335"/>
    </row>
    <row r="280" spans="1:34" ht="45" x14ac:dyDescent="0.25">
      <c r="A280" s="336" t="s">
        <v>2217</v>
      </c>
      <c r="B280" s="64" t="s">
        <v>1838</v>
      </c>
      <c r="C280" s="334">
        <v>0.02</v>
      </c>
      <c r="D280" s="346">
        <v>0.2</v>
      </c>
      <c r="E280" s="346">
        <v>0.2</v>
      </c>
      <c r="F280" s="35">
        <f t="shared" ref="F280" si="117">+E280/D280</f>
        <v>1</v>
      </c>
      <c r="G280" s="346">
        <v>0.2</v>
      </c>
      <c r="H280" s="346">
        <v>0.2</v>
      </c>
      <c r="I280" s="35">
        <f t="shared" ref="I280:I281" si="118">+H280/G280</f>
        <v>1</v>
      </c>
      <c r="J280" s="346">
        <v>0.2</v>
      </c>
      <c r="K280" s="346">
        <v>0.2</v>
      </c>
      <c r="L280" s="35">
        <f t="shared" ref="L280:L281" si="119">+K280/J280</f>
        <v>1</v>
      </c>
      <c r="M280" s="35"/>
      <c r="N280" s="346">
        <v>0.2</v>
      </c>
      <c r="O280" s="346">
        <v>0.2</v>
      </c>
      <c r="P280" s="46">
        <f t="shared" si="108"/>
        <v>1</v>
      </c>
      <c r="Q280" s="46"/>
      <c r="R280" s="46"/>
      <c r="S280" s="346">
        <v>0.2</v>
      </c>
      <c r="T280" s="331">
        <f t="shared" si="106"/>
        <v>1</v>
      </c>
      <c r="U280" s="335">
        <f t="shared" si="109"/>
        <v>0.8</v>
      </c>
      <c r="V280" s="335">
        <f t="shared" si="110"/>
        <v>0.8</v>
      </c>
      <c r="W280" s="335">
        <f t="shared" si="111"/>
        <v>1</v>
      </c>
    </row>
    <row r="281" spans="1:34" ht="32.25" customHeight="1" x14ac:dyDescent="0.25">
      <c r="A281" s="336" t="s">
        <v>2218</v>
      </c>
      <c r="B281" s="64" t="s">
        <v>1846</v>
      </c>
      <c r="C281" s="334">
        <v>0.02</v>
      </c>
      <c r="D281" s="346"/>
      <c r="E281" s="346"/>
      <c r="F281" s="35"/>
      <c r="G281" s="346">
        <f>50%*100%</f>
        <v>0.5</v>
      </c>
      <c r="H281" s="65">
        <v>0</v>
      </c>
      <c r="I281" s="35">
        <f t="shared" si="118"/>
        <v>0</v>
      </c>
      <c r="J281" s="65">
        <f>50%*33%</f>
        <v>0.16500000000000001</v>
      </c>
      <c r="K281" s="65">
        <f>50%*33%</f>
        <v>0.16500000000000001</v>
      </c>
      <c r="L281" s="35">
        <f t="shared" si="119"/>
        <v>1</v>
      </c>
      <c r="M281" s="35"/>
      <c r="N281" s="65">
        <f>50%*33%</f>
        <v>0.16500000000000001</v>
      </c>
      <c r="O281" s="65">
        <v>0.17</v>
      </c>
      <c r="P281" s="46">
        <f t="shared" si="108"/>
        <v>1.0303030303030303</v>
      </c>
      <c r="Q281" s="46"/>
      <c r="R281" s="46"/>
      <c r="S281" s="65">
        <f>50%*33%</f>
        <v>0.16500000000000001</v>
      </c>
      <c r="T281" s="331">
        <f t="shared" si="106"/>
        <v>0.99500000000000011</v>
      </c>
      <c r="U281" s="335">
        <f t="shared" si="109"/>
        <v>0.83000000000000007</v>
      </c>
      <c r="V281" s="335">
        <f t="shared" si="110"/>
        <v>0.33500000000000002</v>
      </c>
      <c r="W281" s="335">
        <f t="shared" si="111"/>
        <v>0.40361445783132527</v>
      </c>
    </row>
    <row r="282" spans="1:34" ht="45" hidden="1" x14ac:dyDescent="0.25">
      <c r="A282" s="336" t="s">
        <v>2219</v>
      </c>
      <c r="B282" s="64" t="s">
        <v>2220</v>
      </c>
      <c r="C282" s="334">
        <v>0.02</v>
      </c>
      <c r="D282" s="346"/>
      <c r="E282" s="346"/>
      <c r="F282" s="35"/>
      <c r="G282" s="346">
        <f>70%*100%+30%*100%</f>
        <v>1</v>
      </c>
      <c r="H282" s="65"/>
      <c r="I282" s="35"/>
      <c r="J282" s="65"/>
      <c r="K282" s="65"/>
      <c r="L282" s="35"/>
      <c r="M282" s="35"/>
      <c r="N282" s="65"/>
      <c r="O282" s="65"/>
      <c r="P282" s="46"/>
      <c r="Q282" s="46"/>
      <c r="R282" s="46"/>
      <c r="S282" s="65"/>
      <c r="T282" s="331">
        <f t="shared" si="106"/>
        <v>1</v>
      </c>
      <c r="U282" s="335">
        <f t="shared" si="109"/>
        <v>1</v>
      </c>
      <c r="V282" s="335">
        <f t="shared" si="110"/>
        <v>0</v>
      </c>
      <c r="W282" s="335">
        <f t="shared" si="111"/>
        <v>0</v>
      </c>
      <c r="X282" s="325" t="s">
        <v>2221</v>
      </c>
    </row>
    <row r="283" spans="1:34" ht="30" hidden="1" x14ac:dyDescent="0.25">
      <c r="A283" s="336" t="s">
        <v>2222</v>
      </c>
      <c r="B283" s="64" t="s">
        <v>2223</v>
      </c>
      <c r="C283" s="334"/>
      <c r="D283" s="346"/>
      <c r="E283" s="346"/>
      <c r="F283" s="35"/>
      <c r="G283" s="346"/>
      <c r="H283" s="346">
        <f>70%*100%+30%*100%</f>
        <v>1</v>
      </c>
      <c r="I283" s="35" t="e">
        <f t="shared" si="112"/>
        <v>#DIV/0!</v>
      </c>
      <c r="J283" s="346"/>
      <c r="K283" s="346"/>
      <c r="L283" s="35"/>
      <c r="M283" s="35"/>
      <c r="N283" s="347"/>
      <c r="O283" s="347"/>
      <c r="P283" s="46"/>
      <c r="Q283" s="46"/>
      <c r="R283" s="46"/>
      <c r="S283" s="347"/>
      <c r="T283" s="331">
        <f t="shared" si="106"/>
        <v>0</v>
      </c>
      <c r="U283" s="335">
        <f t="shared" si="109"/>
        <v>0</v>
      </c>
      <c r="V283" s="335">
        <f t="shared" si="110"/>
        <v>1</v>
      </c>
      <c r="W283" s="335" t="e">
        <f t="shared" si="111"/>
        <v>#DIV/0!</v>
      </c>
    </row>
    <row r="284" spans="1:34" x14ac:dyDescent="0.25">
      <c r="A284" s="353"/>
      <c r="B284" s="36" t="s">
        <v>1896</v>
      </c>
      <c r="C284" s="334">
        <f>SUM(C248:C283)</f>
        <v>1.0000000000000002</v>
      </c>
      <c r="D284" s="528"/>
      <c r="E284" s="529"/>
      <c r="F284" s="529"/>
      <c r="G284" s="529"/>
      <c r="H284" s="529"/>
      <c r="I284" s="529"/>
      <c r="J284" s="529"/>
      <c r="K284" s="529"/>
      <c r="L284" s="529"/>
      <c r="M284" s="529"/>
      <c r="N284" s="529"/>
      <c r="O284" s="529"/>
      <c r="P284" s="529"/>
      <c r="Q284" s="529"/>
      <c r="R284" s="529"/>
      <c r="S284" s="529"/>
      <c r="T284" s="530"/>
      <c r="U284" s="335"/>
      <c r="V284" s="335">
        <f>+E284+H284+K284</f>
        <v>0</v>
      </c>
      <c r="W284" s="335"/>
    </row>
    <row r="285" spans="1:34" x14ac:dyDescent="0.25">
      <c r="A285" s="531" t="s">
        <v>1908</v>
      </c>
      <c r="B285" s="532"/>
      <c r="C285" s="334"/>
      <c r="D285" s="331">
        <f>+D248*$C$248+D249*$C$249+D250*$C$250+D251*$C$251+D252*$C$252+D253*$C$253+D254*$C$254+D255*$C$255+D256*$C$256+D257*$C$257+D258*$C$258+D259*$C$259+D260*$C$260+D261*$C$261+D262*$C$262+D263*$C$263+D264*$C$264+D265*$C$265+D266*$C$266+D267*$C$267+D268*$C$268+D269*$C$269+D270*$C$270+D271*$C$271+D272*$C$272+D273*$C$273+D274*$C$274+D275*$C$275+D276*$C$276+D277*$C$277+D278*$C$278+D280*$C$280+D281*$C$281+D282*$C$282+D283*$C$283</f>
        <v>0.33750000000000008</v>
      </c>
      <c r="E285" s="331">
        <f t="shared" ref="E285" si="120">+E248*$C$248+E249*$C$249+E250*$C$250+E251*$C$251+E252*$C$252+E253*$C$253+E254*$C$254+E255*$C$255+E256*$C$256+E257*$C$257+E258*$C$258+E259*$C$259+E260*$C$260+E261*$C$261+E262*$C$262+E263*$C$263+E264*$C$264+E265*$C$265+E266*$C$266+E267*$C$267+E268*$C$268+E269*$C$269+E270*$C$270+E271*$C$271+E272*$C$272+E273*$C$273+E274*$C$274+E275*$C$275+E276*$C$276+E277*$C$277+E278*$C$278+E280*$C$280+E281*$C$281+E282*$C$282+E283*$C$283</f>
        <v>0.28073750000000003</v>
      </c>
      <c r="F285" s="331">
        <f>+E285/D285</f>
        <v>0.83181481481481467</v>
      </c>
      <c r="G285" s="331">
        <f>+G248*$C$248+G249*$C$249+G250*$C$250+G251*$C$251+G252*$C$252+G253*$C$253+G254*$C$254+G255*$C$255+G256*$C$256+G257*$C$257+G258*$C$258+G259*$C$259+G260*$C$260+G261*$C$261+G262*$C$262+G263*$C$263+G264*$C$264+G265*$C$265+G266*$C$266+G267*$C$267+G268*$C$268+G269*$C$269+G270*$C$270+G271*$C$271+G272*$C$272+G273*$C$273+G274*$C$274+G275*$C$275+G276*$C$276+G277*$C$277+G278*$C$278+G280*$C$280+G281*$C$281+G282*$C$282+G283*$C$283+G279*C279</f>
        <v>0.25375000000000009</v>
      </c>
      <c r="H285" s="331">
        <f t="shared" ref="H285:S285" si="121">+H248*$C$248+H249*$C$249+H250*$C$250+H251*$C$251+H252*$C$252+H253*$C$253+H254*$C$254+H255*$C$255+H256*$C$256+H257*$C$257+H258*$C$258+H259*$C$259+H260*$C$260+H261*$C$261+H262*$C$262+H263*$C$263+H264*$C$264+H265*$C$265+H266*$C$266+H267*$C$267+H268*$C$268+H269*$C$269+H270*$C$270+H271*$C$271+H272*$C$272+H273*$C$273+H274*$C$274+H275*$C$275+H276*$C$276+H277*$C$277+H278*$C$278+H280*$C$280+H281*$C$281+H282*$C$282+H283*$C$283</f>
        <v>0.17000000000000007</v>
      </c>
      <c r="I285" s="331">
        <f>+H285/G285</f>
        <v>0.66995073891625623</v>
      </c>
      <c r="J285" s="331">
        <f t="shared" si="121"/>
        <v>0.13005000000000003</v>
      </c>
      <c r="K285" s="331">
        <f t="shared" si="121"/>
        <v>0.12401200000000005</v>
      </c>
      <c r="L285" s="331">
        <f>+K285/J285</f>
        <v>0.95357170319108053</v>
      </c>
      <c r="M285" s="331">
        <f>+M248*$C$248+M249*$C$249+M250*$C$250+M251*$C$251+M252*$C$252+M253*$C$253+M254*$C$254+M255*$C$255+M256*$C$256+M257*$C$257+M258*$C$258+M259*$C$259+M260*$C$260+M261*$C$261+M262*$C$262+M263*$C$263+M264*$C$264+M265*$C$265+M266*$C$266+M267*$C$267+M268*$C$268+S269*$C$269+M270*$C$270+M271*$C$271+M272*$C$272+M273*$C$273+M274*$C$274+M275*$C$275+M276*$C$276+M277*$C$277+M278*$C$278+M280*$C$280+M281*$C$281+M282*$C$282+M283*$C$283</f>
        <v>1.84E-2</v>
      </c>
      <c r="N285" s="331">
        <f t="shared" si="121"/>
        <v>0.14545000000000002</v>
      </c>
      <c r="O285" s="331">
        <f t="shared" si="121"/>
        <v>0.11050000000000003</v>
      </c>
      <c r="P285" s="331">
        <f>+O285/N285</f>
        <v>0.75971124097628062</v>
      </c>
      <c r="Q285" s="331">
        <f t="shared" si="121"/>
        <v>1.6E-2</v>
      </c>
      <c r="R285" s="331">
        <f t="shared" si="121"/>
        <v>3.2000000000000002E-3</v>
      </c>
      <c r="S285" s="331">
        <f t="shared" si="121"/>
        <v>0.13295000000000001</v>
      </c>
      <c r="T285" s="331">
        <f>+D285+G285+J285+N285+S285</f>
        <v>0.99970000000000014</v>
      </c>
      <c r="U285" s="335">
        <f>+D285+G285+J285</f>
        <v>0.72130000000000016</v>
      </c>
      <c r="V285" s="335">
        <f>+E285+H285+K285</f>
        <v>0.57474950000000014</v>
      </c>
      <c r="W285" s="335">
        <f t="shared" si="111"/>
        <v>0.79682448357132951</v>
      </c>
    </row>
    <row r="286" spans="1:34" x14ac:dyDescent="0.25">
      <c r="A286" s="368"/>
      <c r="B286" s="368"/>
      <c r="C286" s="351"/>
      <c r="D286" s="351"/>
      <c r="E286" s="351"/>
      <c r="F286" s="351"/>
      <c r="G286" s="351"/>
      <c r="H286" s="351"/>
      <c r="I286" s="351"/>
      <c r="J286" s="351"/>
      <c r="K286" s="351"/>
      <c r="L286" s="351"/>
      <c r="M286" s="351"/>
      <c r="N286" s="351"/>
      <c r="O286" s="351"/>
      <c r="P286" s="351"/>
      <c r="Q286" s="351"/>
      <c r="R286" s="351"/>
      <c r="S286" s="351"/>
      <c r="T286" s="137"/>
      <c r="U286" s="137"/>
      <c r="V286" s="137"/>
      <c r="W286" s="137"/>
    </row>
    <row r="287" spans="1:34" x14ac:dyDescent="0.25">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row>
    <row r="288" spans="1:34" x14ac:dyDescent="0.25">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row>
    <row r="289" spans="1:23" x14ac:dyDescent="0.25">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row>
    <row r="290" spans="1:23" x14ac:dyDescent="0.25">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row>
    <row r="291" spans="1:23" x14ac:dyDescent="0.25">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row>
    <row r="292" spans="1:23" x14ac:dyDescent="0.25">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row>
    <row r="293" spans="1:23" x14ac:dyDescent="0.25">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row>
    <row r="294" spans="1:23" x14ac:dyDescent="0.25">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row>
    <row r="295" spans="1:23" x14ac:dyDescent="0.25">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row>
    <row r="296" spans="1:23" x14ac:dyDescent="0.25">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row>
    <row r="297" spans="1:23" x14ac:dyDescent="0.25">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row>
    <row r="298" spans="1:23" x14ac:dyDescent="0.25">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row>
    <row r="299" spans="1:23" x14ac:dyDescent="0.25">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row>
    <row r="300" spans="1:23" x14ac:dyDescent="0.25">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row>
    <row r="301" spans="1:23" x14ac:dyDescent="0.25">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row>
    <row r="302" spans="1:23" x14ac:dyDescent="0.25">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row>
    <row r="303" spans="1:23" x14ac:dyDescent="0.25">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row>
    <row r="304" spans="1:23" x14ac:dyDescent="0.25">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row>
    <row r="305" spans="1:23" x14ac:dyDescent="0.25">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row>
    <row r="306" spans="1:23" x14ac:dyDescent="0.25">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row>
    <row r="307" spans="1:23" x14ac:dyDescent="0.25">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row>
    <row r="308" spans="1:23" x14ac:dyDescent="0.25">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row>
    <row r="309" spans="1:23" x14ac:dyDescent="0.25">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row>
    <row r="310" spans="1:23" x14ac:dyDescent="0.25">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row>
    <row r="311" spans="1:23" x14ac:dyDescent="0.25">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row>
    <row r="312" spans="1:23" x14ac:dyDescent="0.25">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row>
    <row r="313" spans="1:23" x14ac:dyDescent="0.25">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row>
    <row r="314" spans="1:23" x14ac:dyDescent="0.25">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row>
    <row r="315" spans="1:23" x14ac:dyDescent="0.25">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row>
    <row r="316" spans="1:23" x14ac:dyDescent="0.25">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row>
    <row r="317" spans="1:23" x14ac:dyDescent="0.25">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row>
    <row r="318" spans="1:23" x14ac:dyDescent="0.25">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row>
    <row r="319" spans="1:23" x14ac:dyDescent="0.25">
      <c r="A319" s="137"/>
      <c r="B319" s="370"/>
      <c r="C319" s="137"/>
      <c r="D319" s="137"/>
      <c r="E319" s="137"/>
      <c r="F319" s="137"/>
      <c r="G319" s="137"/>
      <c r="H319" s="137"/>
      <c r="I319" s="137"/>
      <c r="J319" s="371"/>
      <c r="K319" s="371"/>
      <c r="L319" s="371"/>
      <c r="M319" s="371"/>
      <c r="N319" s="371"/>
      <c r="O319" s="371"/>
      <c r="P319" s="371"/>
      <c r="Q319" s="371"/>
      <c r="R319" s="371"/>
      <c r="S319" s="137"/>
      <c r="T319" s="137"/>
      <c r="U319" s="137"/>
      <c r="V319" s="137"/>
      <c r="W319" s="137"/>
    </row>
    <row r="320" spans="1:23" x14ac:dyDescent="0.25">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row>
    <row r="321" spans="1:23" x14ac:dyDescent="0.25">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row>
    <row r="322" spans="1:23" x14ac:dyDescent="0.25">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row>
    <row r="323" spans="1:23" x14ac:dyDescent="0.25">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row>
    <row r="324" spans="1:23" x14ac:dyDescent="0.25">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row>
    <row r="325" spans="1:23" x14ac:dyDescent="0.25">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row>
    <row r="326" spans="1:23" x14ac:dyDescent="0.25">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row>
    <row r="327" spans="1:23" x14ac:dyDescent="0.25">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row>
    <row r="328" spans="1:23" x14ac:dyDescent="0.25">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row>
    <row r="329" spans="1:23" x14ac:dyDescent="0.25">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c r="W329" s="137"/>
    </row>
    <row r="330" spans="1:23" x14ac:dyDescent="0.25">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row>
    <row r="331" spans="1:23" x14ac:dyDescent="0.25">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c r="W331" s="137"/>
    </row>
    <row r="332" spans="1:23" x14ac:dyDescent="0.25">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c r="W332" s="137"/>
    </row>
    <row r="333" spans="1:23" x14ac:dyDescent="0.25">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c r="W333" s="137"/>
    </row>
    <row r="334" spans="1:23" x14ac:dyDescent="0.25">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c r="W334" s="137"/>
    </row>
    <row r="335" spans="1:23" x14ac:dyDescent="0.25">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c r="W335" s="137"/>
    </row>
    <row r="336" spans="1:23" x14ac:dyDescent="0.25">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c r="W336" s="137"/>
    </row>
    <row r="337" spans="1:23" x14ac:dyDescent="0.25">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c r="W337" s="137"/>
    </row>
    <row r="338" spans="1:23" x14ac:dyDescent="0.25">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row>
    <row r="339" spans="1:23" x14ac:dyDescent="0.25">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row>
    <row r="340" spans="1:23" x14ac:dyDescent="0.25">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row>
    <row r="341" spans="1:23" x14ac:dyDescent="0.25">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row>
    <row r="342" spans="1:23" x14ac:dyDescent="0.25">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row>
    <row r="343" spans="1:23" x14ac:dyDescent="0.25">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row>
    <row r="344" spans="1:23" x14ac:dyDescent="0.25">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row>
    <row r="345" spans="1:23" x14ac:dyDescent="0.25">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row>
    <row r="346" spans="1:23" x14ac:dyDescent="0.25">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row>
    <row r="347" spans="1:23" x14ac:dyDescent="0.25">
      <c r="A347" s="137"/>
      <c r="B347" s="370"/>
      <c r="C347" s="137"/>
      <c r="D347" s="137"/>
      <c r="E347" s="137"/>
      <c r="F347" s="137"/>
      <c r="G347" s="137"/>
      <c r="H347" s="137"/>
      <c r="I347" s="137"/>
      <c r="J347" s="137"/>
      <c r="K347" s="137"/>
      <c r="L347" s="137"/>
      <c r="M347" s="137"/>
      <c r="N347" s="137"/>
      <c r="O347" s="137"/>
      <c r="P347" s="137"/>
      <c r="Q347" s="137"/>
      <c r="R347" s="137"/>
      <c r="S347" s="137"/>
      <c r="T347" s="137"/>
      <c r="U347" s="137"/>
      <c r="V347" s="137"/>
      <c r="W347" s="137"/>
    </row>
    <row r="348" spans="1:23" x14ac:dyDescent="0.25">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row>
    <row r="349" spans="1:23" x14ac:dyDescent="0.25">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row>
    <row r="350" spans="1:23" x14ac:dyDescent="0.25">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row>
    <row r="351" spans="1:23" x14ac:dyDescent="0.25">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row>
    <row r="352" spans="1:23" x14ac:dyDescent="0.25">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row>
    <row r="353" spans="1:23" x14ac:dyDescent="0.25">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row>
    <row r="354" spans="1:23" x14ac:dyDescent="0.25">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row>
    <row r="355" spans="1:23" x14ac:dyDescent="0.25">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row>
    <row r="356" spans="1:23" x14ac:dyDescent="0.25">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c r="W356" s="137"/>
    </row>
    <row r="357" spans="1:23" x14ac:dyDescent="0.25">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c r="W357" s="137"/>
    </row>
    <row r="358" spans="1:23" x14ac:dyDescent="0.25">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c r="W358" s="137"/>
    </row>
    <row r="359" spans="1:23" x14ac:dyDescent="0.25">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row>
    <row r="360" spans="1:23" x14ac:dyDescent="0.25">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row>
    <row r="361" spans="1:23" x14ac:dyDescent="0.25">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row>
    <row r="362" spans="1:23" x14ac:dyDescent="0.25">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row>
    <row r="363" spans="1:23" x14ac:dyDescent="0.25">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row>
    <row r="364" spans="1:23" x14ac:dyDescent="0.25">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row>
    <row r="365" spans="1:23" x14ac:dyDescent="0.25">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row>
    <row r="366" spans="1:23" x14ac:dyDescent="0.25">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row>
    <row r="367" spans="1:23" x14ac:dyDescent="0.25">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row>
    <row r="368" spans="1:23" x14ac:dyDescent="0.25">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row>
    <row r="369" spans="1:23" x14ac:dyDescent="0.25">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row>
    <row r="370" spans="1:23" x14ac:dyDescent="0.25">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row>
    <row r="371" spans="1:23" x14ac:dyDescent="0.25">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row>
    <row r="372" spans="1:23" x14ac:dyDescent="0.25">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row>
    <row r="373" spans="1:23" x14ac:dyDescent="0.25">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row>
    <row r="374" spans="1:23" x14ac:dyDescent="0.25">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row>
    <row r="375" spans="1:23" x14ac:dyDescent="0.25">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row>
    <row r="376" spans="1:23" x14ac:dyDescent="0.25">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row>
    <row r="377" spans="1:23" x14ac:dyDescent="0.25">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row>
    <row r="378" spans="1:23" x14ac:dyDescent="0.25">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row>
    <row r="379" spans="1:23" x14ac:dyDescent="0.25">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row>
    <row r="380" spans="1:23" x14ac:dyDescent="0.25">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row>
    <row r="381" spans="1:23" x14ac:dyDescent="0.25">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row>
    <row r="382" spans="1:23" x14ac:dyDescent="0.25">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row>
    <row r="383" spans="1:23" x14ac:dyDescent="0.25">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row>
    <row r="384" spans="1:23" x14ac:dyDescent="0.25">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row>
    <row r="385" spans="1:23" x14ac:dyDescent="0.25">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row>
    <row r="386" spans="1:23" x14ac:dyDescent="0.25">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row>
    <row r="387" spans="1:23" x14ac:dyDescent="0.25">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row>
    <row r="388" spans="1:23" x14ac:dyDescent="0.25">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row>
    <row r="389" spans="1:23" x14ac:dyDescent="0.25">
      <c r="A389" s="137"/>
      <c r="B389" s="370"/>
      <c r="C389" s="137"/>
      <c r="D389" s="137"/>
      <c r="E389" s="137"/>
      <c r="F389" s="137"/>
      <c r="G389" s="137"/>
      <c r="H389" s="137"/>
      <c r="I389" s="137"/>
      <c r="J389" s="137"/>
      <c r="K389" s="137"/>
      <c r="L389" s="137"/>
      <c r="M389" s="137"/>
      <c r="N389" s="137"/>
      <c r="O389" s="137"/>
      <c r="P389" s="137"/>
      <c r="Q389" s="137"/>
      <c r="R389" s="137"/>
      <c r="S389" s="137"/>
      <c r="T389" s="137"/>
      <c r="U389" s="137"/>
      <c r="V389" s="137"/>
      <c r="W389" s="137"/>
    </row>
    <row r="390" spans="1:23" x14ac:dyDescent="0.25">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row>
    <row r="391" spans="1:23" x14ac:dyDescent="0.25">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row>
    <row r="392" spans="1:23" x14ac:dyDescent="0.25">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row>
    <row r="393" spans="1:23" x14ac:dyDescent="0.25">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row>
    <row r="394" spans="1:23" x14ac:dyDescent="0.25">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row>
    <row r="395" spans="1:23" x14ac:dyDescent="0.25">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row>
    <row r="396" spans="1:23" x14ac:dyDescent="0.25">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row>
    <row r="397" spans="1:23" x14ac:dyDescent="0.25">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row>
    <row r="398" spans="1:23" x14ac:dyDescent="0.25">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row>
    <row r="399" spans="1:23" x14ac:dyDescent="0.25">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row>
    <row r="400" spans="1:23" x14ac:dyDescent="0.25">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row>
    <row r="401" spans="1:23" x14ac:dyDescent="0.25">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row>
    <row r="402" spans="1:23" x14ac:dyDescent="0.25">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row>
    <row r="403" spans="1:23" x14ac:dyDescent="0.25">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row>
    <row r="404" spans="1:23" x14ac:dyDescent="0.25">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row>
    <row r="405" spans="1:23" x14ac:dyDescent="0.25">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row>
    <row r="406" spans="1:23" x14ac:dyDescent="0.25">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row>
    <row r="407" spans="1:23" x14ac:dyDescent="0.25">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row>
    <row r="408" spans="1:23" x14ac:dyDescent="0.25">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row>
    <row r="409" spans="1:23" x14ac:dyDescent="0.25">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row>
    <row r="410" spans="1:23" x14ac:dyDescent="0.25">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row>
    <row r="411" spans="1:23" x14ac:dyDescent="0.25">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row>
    <row r="412" spans="1:23" x14ac:dyDescent="0.25">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row>
    <row r="413" spans="1:23" x14ac:dyDescent="0.25">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row>
    <row r="414" spans="1:23" x14ac:dyDescent="0.25">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row>
    <row r="415" spans="1:23" x14ac:dyDescent="0.25">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row>
    <row r="416" spans="1:23" ht="18.75" x14ac:dyDescent="0.3">
      <c r="A416" s="533"/>
      <c r="B416" s="533"/>
      <c r="C416" s="533"/>
      <c r="D416" s="533"/>
      <c r="E416" s="533"/>
      <c r="F416" s="533"/>
      <c r="G416" s="533"/>
      <c r="H416" s="533"/>
      <c r="I416" s="533"/>
      <c r="J416" s="533"/>
      <c r="K416" s="533"/>
      <c r="L416" s="533"/>
      <c r="M416" s="533"/>
      <c r="N416" s="533"/>
      <c r="O416" s="533"/>
      <c r="P416" s="533"/>
      <c r="Q416" s="533"/>
      <c r="R416" s="533"/>
      <c r="S416" s="533"/>
      <c r="T416" s="533"/>
      <c r="U416" s="372"/>
      <c r="V416" s="372"/>
      <c r="W416" s="372"/>
    </row>
    <row r="417" spans="1:23" x14ac:dyDescent="0.25">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row>
    <row r="418" spans="1:23" x14ac:dyDescent="0.25">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row>
    <row r="419" spans="1:23" x14ac:dyDescent="0.25">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row>
    <row r="420" spans="1:23" x14ac:dyDescent="0.25">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row>
    <row r="421" spans="1:23" x14ac:dyDescent="0.25">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row>
    <row r="422" spans="1:23" x14ac:dyDescent="0.25">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row>
    <row r="423" spans="1:23" x14ac:dyDescent="0.25">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row>
    <row r="424" spans="1:23" x14ac:dyDescent="0.25">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row>
    <row r="425" spans="1:23" x14ac:dyDescent="0.25">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row>
    <row r="426" spans="1:23" x14ac:dyDescent="0.25">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row>
    <row r="427" spans="1:23" x14ac:dyDescent="0.25">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row>
    <row r="428" spans="1:23" x14ac:dyDescent="0.25">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row>
    <row r="429" spans="1:23" x14ac:dyDescent="0.25">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row>
    <row r="430" spans="1:23" x14ac:dyDescent="0.25">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row>
    <row r="431" spans="1:23" x14ac:dyDescent="0.25">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row>
    <row r="432" spans="1:23" x14ac:dyDescent="0.25">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row>
    <row r="433" spans="1:23" x14ac:dyDescent="0.25">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row>
    <row r="434" spans="1:23" x14ac:dyDescent="0.25">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row>
    <row r="435" spans="1:23" x14ac:dyDescent="0.25">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row>
    <row r="436" spans="1:23" x14ac:dyDescent="0.25">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row>
    <row r="437" spans="1:23" x14ac:dyDescent="0.25">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row>
    <row r="438" spans="1:23" x14ac:dyDescent="0.25">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row>
    <row r="439" spans="1:23" x14ac:dyDescent="0.25">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row>
    <row r="440" spans="1:23" x14ac:dyDescent="0.25">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row>
    <row r="441" spans="1:23" x14ac:dyDescent="0.25">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row>
    <row r="442" spans="1:23" x14ac:dyDescent="0.25">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row>
    <row r="443" spans="1:23" x14ac:dyDescent="0.25">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row>
    <row r="444" spans="1:23" x14ac:dyDescent="0.25">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row>
    <row r="445" spans="1:23" x14ac:dyDescent="0.25">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row>
    <row r="446" spans="1:23" x14ac:dyDescent="0.25">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row>
    <row r="447" spans="1:23" x14ac:dyDescent="0.25">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row>
    <row r="448" spans="1:23" x14ac:dyDescent="0.25">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row>
    <row r="449" spans="1:23" x14ac:dyDescent="0.25">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row>
    <row r="450" spans="1:23" x14ac:dyDescent="0.25">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row>
    <row r="451" spans="1:23" x14ac:dyDescent="0.25">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row>
    <row r="452" spans="1:23" x14ac:dyDescent="0.25">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row>
    <row r="453" spans="1:23" x14ac:dyDescent="0.25">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row>
    <row r="454" spans="1:23" x14ac:dyDescent="0.25">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row>
    <row r="455" spans="1:23" x14ac:dyDescent="0.25">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row>
    <row r="456" spans="1:23" x14ac:dyDescent="0.25">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row>
    <row r="457" spans="1:23" x14ac:dyDescent="0.25">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row>
    <row r="458" spans="1:23" x14ac:dyDescent="0.25">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row>
    <row r="459" spans="1:23" x14ac:dyDescent="0.25">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row>
    <row r="460" spans="1:23" x14ac:dyDescent="0.25">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row>
    <row r="461" spans="1:23" x14ac:dyDescent="0.25">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row>
    <row r="462" spans="1:23" x14ac:dyDescent="0.25">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row>
    <row r="463" spans="1:23" x14ac:dyDescent="0.25">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row>
    <row r="464" spans="1:23" x14ac:dyDescent="0.25">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row>
    <row r="465" spans="1:23" x14ac:dyDescent="0.25">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row>
    <row r="466" spans="1:23" x14ac:dyDescent="0.25">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row>
    <row r="467" spans="1:23" x14ac:dyDescent="0.25">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row>
    <row r="468" spans="1:23" x14ac:dyDescent="0.25">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row>
    <row r="469" spans="1:23" x14ac:dyDescent="0.25">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row>
    <row r="470" spans="1:23" x14ac:dyDescent="0.25">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row>
    <row r="471" spans="1:23" x14ac:dyDescent="0.25">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row>
    <row r="472" spans="1:23" x14ac:dyDescent="0.25">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row>
    <row r="473" spans="1:23" x14ac:dyDescent="0.25">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row>
    <row r="474" spans="1:23" x14ac:dyDescent="0.25">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c r="W474" s="137"/>
    </row>
    <row r="475" spans="1:23" x14ac:dyDescent="0.25">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row>
    <row r="476" spans="1:23" x14ac:dyDescent="0.25">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row>
    <row r="477" spans="1:23" x14ac:dyDescent="0.25">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row>
    <row r="478" spans="1:23" x14ac:dyDescent="0.25">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row>
    <row r="479" spans="1:23" x14ac:dyDescent="0.25">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row>
    <row r="480" spans="1:23" x14ac:dyDescent="0.25">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row>
    <row r="481" spans="1:23" x14ac:dyDescent="0.25">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row>
    <row r="482" spans="1:23" x14ac:dyDescent="0.25">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row>
    <row r="483" spans="1:23" x14ac:dyDescent="0.25">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row>
    <row r="484" spans="1:23" x14ac:dyDescent="0.25">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row>
    <row r="485" spans="1:23" x14ac:dyDescent="0.25">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c r="W485" s="137"/>
    </row>
    <row r="486" spans="1:23" x14ac:dyDescent="0.25">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c r="W486" s="137"/>
    </row>
    <row r="487" spans="1:23" x14ac:dyDescent="0.25">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c r="W487" s="137"/>
    </row>
    <row r="488" spans="1:23" x14ac:dyDescent="0.25">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c r="W488" s="137"/>
    </row>
    <row r="489" spans="1:23" x14ac:dyDescent="0.25">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c r="W489" s="137"/>
    </row>
    <row r="490" spans="1:23" x14ac:dyDescent="0.25">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c r="W490" s="137"/>
    </row>
    <row r="491" spans="1:23" x14ac:dyDescent="0.25">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c r="W491" s="137"/>
    </row>
    <row r="492" spans="1:23" x14ac:dyDescent="0.25">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c r="W492" s="137"/>
    </row>
    <row r="493" spans="1:23" x14ac:dyDescent="0.25">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c r="W493" s="137"/>
    </row>
    <row r="494" spans="1:23" x14ac:dyDescent="0.25">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c r="W494" s="137"/>
    </row>
    <row r="495" spans="1:23" x14ac:dyDescent="0.25">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c r="W495" s="137"/>
    </row>
    <row r="496" spans="1:23" x14ac:dyDescent="0.25">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c r="W496" s="137"/>
    </row>
    <row r="497" spans="1:23" x14ac:dyDescent="0.25">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c r="W497" s="137"/>
    </row>
    <row r="498" spans="1:23" x14ac:dyDescent="0.25">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c r="W498" s="137"/>
    </row>
    <row r="499" spans="1:23" x14ac:dyDescent="0.25">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row>
    <row r="500" spans="1:23" x14ac:dyDescent="0.25">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row>
    <row r="501" spans="1:23" x14ac:dyDescent="0.25">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c r="W501" s="137"/>
    </row>
    <row r="502" spans="1:23" x14ac:dyDescent="0.25">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c r="W502" s="137"/>
    </row>
    <row r="503" spans="1:23" x14ac:dyDescent="0.25">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c r="W503" s="137"/>
    </row>
    <row r="504" spans="1:23" x14ac:dyDescent="0.25">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c r="W504" s="137"/>
    </row>
    <row r="505" spans="1:23" x14ac:dyDescent="0.25">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c r="W505" s="137"/>
    </row>
    <row r="506" spans="1:23" x14ac:dyDescent="0.25">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c r="W506" s="137"/>
    </row>
    <row r="507" spans="1:23" x14ac:dyDescent="0.25">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c r="W507" s="137"/>
    </row>
    <row r="508" spans="1:23" x14ac:dyDescent="0.25">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c r="W508" s="137"/>
    </row>
    <row r="509" spans="1:23" x14ac:dyDescent="0.25">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c r="W509" s="137"/>
    </row>
    <row r="510" spans="1:23" x14ac:dyDescent="0.25">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c r="W510" s="137"/>
    </row>
    <row r="511" spans="1:23" x14ac:dyDescent="0.25">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c r="W511" s="137"/>
    </row>
    <row r="512" spans="1:23" x14ac:dyDescent="0.25">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c r="W512" s="137"/>
    </row>
    <row r="513" spans="1:23" x14ac:dyDescent="0.25">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c r="W513" s="137"/>
    </row>
    <row r="514" spans="1:23" x14ac:dyDescent="0.25">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c r="W514" s="137"/>
    </row>
    <row r="515" spans="1:23" x14ac:dyDescent="0.25">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c r="W515" s="137"/>
    </row>
    <row r="516" spans="1:23" x14ac:dyDescent="0.25">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c r="W516" s="137"/>
    </row>
    <row r="517" spans="1:23" x14ac:dyDescent="0.25">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c r="W517" s="137"/>
    </row>
    <row r="518" spans="1:23" x14ac:dyDescent="0.25">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c r="W518" s="137"/>
    </row>
    <row r="519" spans="1:23" x14ac:dyDescent="0.25">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c r="W519" s="137"/>
    </row>
    <row r="520" spans="1:23" x14ac:dyDescent="0.25">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c r="W520" s="137"/>
    </row>
    <row r="521" spans="1:23" x14ac:dyDescent="0.25">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c r="W521" s="137"/>
    </row>
    <row r="522" spans="1:23" x14ac:dyDescent="0.25">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c r="W522" s="137"/>
    </row>
    <row r="523" spans="1:23" x14ac:dyDescent="0.25">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c r="W523" s="137"/>
    </row>
    <row r="524" spans="1:23" x14ac:dyDescent="0.25">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c r="W524" s="137"/>
    </row>
    <row r="525" spans="1:23" x14ac:dyDescent="0.25">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c r="W525" s="137"/>
    </row>
    <row r="526" spans="1:23" x14ac:dyDescent="0.25">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c r="W526" s="137"/>
    </row>
    <row r="527" spans="1:23" x14ac:dyDescent="0.25">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c r="W527" s="137"/>
    </row>
    <row r="528" spans="1:23" x14ac:dyDescent="0.25">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c r="W528" s="137"/>
    </row>
    <row r="529" spans="1:23" x14ac:dyDescent="0.25">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c r="W529" s="137"/>
    </row>
    <row r="530" spans="1:23" x14ac:dyDescent="0.25">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c r="W530" s="137"/>
    </row>
    <row r="531" spans="1:23" x14ac:dyDescent="0.25">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c r="W531" s="137"/>
    </row>
    <row r="532" spans="1:23" x14ac:dyDescent="0.25">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c r="W532" s="137"/>
    </row>
    <row r="533" spans="1:23" x14ac:dyDescent="0.25">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c r="W533" s="137"/>
    </row>
    <row r="534" spans="1:23" x14ac:dyDescent="0.25">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c r="W534" s="137"/>
    </row>
    <row r="535" spans="1:23" x14ac:dyDescent="0.25">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c r="W535" s="137"/>
    </row>
    <row r="536" spans="1:23" x14ac:dyDescent="0.25">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c r="W536" s="137"/>
    </row>
    <row r="537" spans="1:23" x14ac:dyDescent="0.25">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c r="W537" s="137"/>
    </row>
    <row r="538" spans="1:23" x14ac:dyDescent="0.25">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c r="W538" s="137"/>
    </row>
    <row r="539" spans="1:23" x14ac:dyDescent="0.25">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c r="W539" s="137"/>
    </row>
    <row r="540" spans="1:23" x14ac:dyDescent="0.25">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c r="W540" s="137"/>
    </row>
    <row r="541" spans="1:23" x14ac:dyDescent="0.25">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c r="W541" s="137"/>
    </row>
    <row r="542" spans="1:23" x14ac:dyDescent="0.25">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c r="W542" s="137"/>
    </row>
    <row r="543" spans="1:23" x14ac:dyDescent="0.25">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c r="W543" s="137"/>
    </row>
    <row r="544" spans="1:23" x14ac:dyDescent="0.25">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c r="W544" s="137"/>
    </row>
    <row r="545" spans="1:23" x14ac:dyDescent="0.25">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c r="W545" s="137"/>
    </row>
    <row r="546" spans="1:23" x14ac:dyDescent="0.25">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c r="W546" s="137"/>
    </row>
    <row r="547" spans="1:23" x14ac:dyDescent="0.25">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c r="W547" s="137"/>
    </row>
    <row r="548" spans="1:23" x14ac:dyDescent="0.25">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c r="W548" s="137"/>
    </row>
    <row r="549" spans="1:23" x14ac:dyDescent="0.25">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c r="W549" s="137"/>
    </row>
    <row r="550" spans="1:23" x14ac:dyDescent="0.25">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c r="W550" s="137"/>
    </row>
    <row r="551" spans="1:23" x14ac:dyDescent="0.25">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c r="W551" s="137"/>
    </row>
    <row r="552" spans="1:23" x14ac:dyDescent="0.25">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c r="W552" s="137"/>
    </row>
    <row r="553" spans="1:23" x14ac:dyDescent="0.25">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c r="W553" s="137"/>
    </row>
    <row r="554" spans="1:23" x14ac:dyDescent="0.25">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c r="W554" s="137"/>
    </row>
    <row r="555" spans="1:23" x14ac:dyDescent="0.25">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c r="W555" s="137"/>
    </row>
    <row r="556" spans="1:23" x14ac:dyDescent="0.25">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c r="W556" s="137"/>
    </row>
    <row r="557" spans="1:23" x14ac:dyDescent="0.25">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7"/>
    </row>
    <row r="558" spans="1:23" x14ac:dyDescent="0.25">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c r="W558" s="137"/>
    </row>
    <row r="559" spans="1:23" x14ac:dyDescent="0.25">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c r="W559" s="137"/>
    </row>
    <row r="560" spans="1:23" x14ac:dyDescent="0.25">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c r="W560" s="137"/>
    </row>
    <row r="561" spans="1:23" x14ac:dyDescent="0.25">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row>
    <row r="562" spans="1:23" x14ac:dyDescent="0.25">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row>
    <row r="563" spans="1:23" x14ac:dyDescent="0.25">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c r="W563" s="137"/>
    </row>
    <row r="564" spans="1:23" x14ac:dyDescent="0.25">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c r="W564" s="137"/>
    </row>
    <row r="565" spans="1:23" x14ac:dyDescent="0.25">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c r="W565" s="137"/>
    </row>
    <row r="566" spans="1:23" x14ac:dyDescent="0.25">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c r="W566" s="137"/>
    </row>
    <row r="567" spans="1:23" x14ac:dyDescent="0.25">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c r="W567" s="137"/>
    </row>
    <row r="568" spans="1:23" x14ac:dyDescent="0.25">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c r="W568" s="137"/>
    </row>
    <row r="569" spans="1:23" x14ac:dyDescent="0.25">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c r="W569" s="137"/>
    </row>
    <row r="570" spans="1:23" x14ac:dyDescent="0.25">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c r="W570" s="137"/>
    </row>
    <row r="571" spans="1:23" x14ac:dyDescent="0.25">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c r="W571" s="137"/>
    </row>
    <row r="572" spans="1:23" x14ac:dyDescent="0.25">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c r="W572" s="137"/>
    </row>
    <row r="573" spans="1:23" x14ac:dyDescent="0.25">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c r="W573" s="137"/>
    </row>
    <row r="574" spans="1:23" x14ac:dyDescent="0.25">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row>
    <row r="575" spans="1:23" x14ac:dyDescent="0.25">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row>
    <row r="576" spans="1:23" x14ac:dyDescent="0.25">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row>
    <row r="577" spans="1:23" x14ac:dyDescent="0.25">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row>
    <row r="578" spans="1:23" x14ac:dyDescent="0.25">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row>
    <row r="579" spans="1:23" x14ac:dyDescent="0.25">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row>
    <row r="580" spans="1:23" x14ac:dyDescent="0.25">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row>
    <row r="581" spans="1:23" x14ac:dyDescent="0.25">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row>
    <row r="582" spans="1:23" x14ac:dyDescent="0.25">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row>
    <row r="583" spans="1:23" x14ac:dyDescent="0.25">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row>
    <row r="584" spans="1:23" x14ac:dyDescent="0.25">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row>
    <row r="585" spans="1:23" x14ac:dyDescent="0.25">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row>
    <row r="586" spans="1:23" x14ac:dyDescent="0.25">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row>
    <row r="587" spans="1:23" x14ac:dyDescent="0.25">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row>
    <row r="588" spans="1:23" x14ac:dyDescent="0.25">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row>
    <row r="589" spans="1:23" x14ac:dyDescent="0.25">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row>
    <row r="590" spans="1:23" x14ac:dyDescent="0.25">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row>
    <row r="591" spans="1:23" x14ac:dyDescent="0.25">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row>
    <row r="592" spans="1:23" x14ac:dyDescent="0.25">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row>
    <row r="593" spans="1:23" x14ac:dyDescent="0.25">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row>
    <row r="594" spans="1:23" x14ac:dyDescent="0.25">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row>
    <row r="595" spans="1:23" x14ac:dyDescent="0.25">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row>
    <row r="596" spans="1:23" x14ac:dyDescent="0.25">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row>
    <row r="597" spans="1:23" x14ac:dyDescent="0.25">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row>
    <row r="598" spans="1:23" x14ac:dyDescent="0.25">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row>
    <row r="599" spans="1:23" x14ac:dyDescent="0.25">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row>
    <row r="600" spans="1:23" x14ac:dyDescent="0.25">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row>
    <row r="601" spans="1:23" x14ac:dyDescent="0.25">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c r="W601" s="137"/>
    </row>
    <row r="602" spans="1:23" x14ac:dyDescent="0.25">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c r="W602" s="137"/>
    </row>
    <row r="603" spans="1:23" x14ac:dyDescent="0.25">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c r="W603" s="137"/>
    </row>
    <row r="604" spans="1:23" x14ac:dyDescent="0.25">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c r="W604" s="137"/>
    </row>
    <row r="605" spans="1:23" x14ac:dyDescent="0.25">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c r="W605" s="137"/>
    </row>
    <row r="606" spans="1:23" x14ac:dyDescent="0.25">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c r="W606" s="137"/>
    </row>
    <row r="607" spans="1:23" x14ac:dyDescent="0.25">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c r="W607" s="137"/>
    </row>
    <row r="608" spans="1:23" x14ac:dyDescent="0.25">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c r="W608" s="137"/>
    </row>
    <row r="609" spans="1:23" x14ac:dyDescent="0.25">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c r="W609" s="137"/>
    </row>
    <row r="610" spans="1:23" x14ac:dyDescent="0.25">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c r="W610" s="137"/>
    </row>
    <row r="611" spans="1:23" x14ac:dyDescent="0.25">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c r="W611" s="137"/>
    </row>
    <row r="612" spans="1:23" x14ac:dyDescent="0.25">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row>
    <row r="613" spans="1:23" x14ac:dyDescent="0.25">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row>
    <row r="614" spans="1:23" x14ac:dyDescent="0.25">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c r="W614" s="137"/>
    </row>
    <row r="615" spans="1:23" x14ac:dyDescent="0.25">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c r="W615" s="137"/>
    </row>
    <row r="616" spans="1:23" x14ac:dyDescent="0.25">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c r="W616" s="137"/>
    </row>
    <row r="617" spans="1:23" x14ac:dyDescent="0.25">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c r="W617" s="137"/>
    </row>
    <row r="618" spans="1:23" x14ac:dyDescent="0.25">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c r="W618" s="137"/>
    </row>
    <row r="619" spans="1:23" x14ac:dyDescent="0.25">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c r="W619" s="137"/>
    </row>
    <row r="620" spans="1:23" x14ac:dyDescent="0.25">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c r="W620" s="137"/>
    </row>
    <row r="621" spans="1:23" x14ac:dyDescent="0.25">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c r="W621" s="137"/>
    </row>
    <row r="622" spans="1:23" x14ac:dyDescent="0.25">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c r="W622" s="137"/>
    </row>
    <row r="623" spans="1:23" x14ac:dyDescent="0.25">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c r="W623" s="137"/>
    </row>
    <row r="624" spans="1:23" x14ac:dyDescent="0.25">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c r="W624" s="137"/>
    </row>
    <row r="625" spans="1:23" x14ac:dyDescent="0.25">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c r="W625" s="137"/>
    </row>
    <row r="626" spans="1:23" x14ac:dyDescent="0.25">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c r="W626" s="137"/>
    </row>
    <row r="627" spans="1:23" x14ac:dyDescent="0.25">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c r="W627" s="137"/>
    </row>
    <row r="628" spans="1:23" x14ac:dyDescent="0.25">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c r="W628" s="137"/>
    </row>
    <row r="629" spans="1:23" x14ac:dyDescent="0.25">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c r="W629" s="137"/>
    </row>
    <row r="630" spans="1:23" x14ac:dyDescent="0.25">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c r="W630" s="137"/>
    </row>
    <row r="631" spans="1:23" x14ac:dyDescent="0.25">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c r="W631" s="137"/>
    </row>
    <row r="632" spans="1:23" x14ac:dyDescent="0.25">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c r="W632" s="137"/>
    </row>
    <row r="633" spans="1:23" x14ac:dyDescent="0.25">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c r="W633" s="137"/>
    </row>
    <row r="634" spans="1:23" x14ac:dyDescent="0.25">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c r="W634" s="137"/>
    </row>
    <row r="635" spans="1:23" x14ac:dyDescent="0.25">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c r="W635" s="137"/>
    </row>
    <row r="636" spans="1:23" x14ac:dyDescent="0.25">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7"/>
    </row>
    <row r="637" spans="1:23" x14ac:dyDescent="0.25">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c r="W637" s="137"/>
    </row>
    <row r="638" spans="1:23" x14ac:dyDescent="0.25">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c r="W638" s="137"/>
    </row>
    <row r="639" spans="1:23" x14ac:dyDescent="0.25">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c r="W639" s="137"/>
    </row>
    <row r="640" spans="1:23" x14ac:dyDescent="0.25">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c r="W640" s="137"/>
    </row>
    <row r="641" spans="1:23" x14ac:dyDescent="0.25">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c r="W641" s="137"/>
    </row>
    <row r="642" spans="1:23" x14ac:dyDescent="0.25">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c r="W642" s="137"/>
    </row>
    <row r="643" spans="1:23" x14ac:dyDescent="0.25">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c r="W643" s="137"/>
    </row>
    <row r="644" spans="1:23" x14ac:dyDescent="0.25">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c r="W644" s="137"/>
    </row>
    <row r="645" spans="1:23" x14ac:dyDescent="0.25">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c r="W645" s="137"/>
    </row>
    <row r="646" spans="1:23" x14ac:dyDescent="0.25">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c r="W646" s="137"/>
    </row>
    <row r="647" spans="1:23" x14ac:dyDescent="0.25">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c r="W647" s="137"/>
    </row>
    <row r="648" spans="1:23" x14ac:dyDescent="0.25">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c r="W648" s="137"/>
    </row>
    <row r="649" spans="1:23" x14ac:dyDescent="0.25">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c r="W649" s="137"/>
    </row>
    <row r="650" spans="1:23" x14ac:dyDescent="0.25">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c r="W650" s="137"/>
    </row>
    <row r="651" spans="1:23" x14ac:dyDescent="0.25">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c r="W651" s="137"/>
    </row>
    <row r="652" spans="1:23" x14ac:dyDescent="0.25">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c r="W652" s="137"/>
    </row>
    <row r="653" spans="1:23" x14ac:dyDescent="0.25">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c r="W653" s="137"/>
    </row>
    <row r="654" spans="1:23" x14ac:dyDescent="0.25">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c r="W654" s="137"/>
    </row>
    <row r="655" spans="1:23" x14ac:dyDescent="0.25">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c r="W655" s="137"/>
    </row>
    <row r="656" spans="1:23" x14ac:dyDescent="0.25">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c r="W656" s="137"/>
    </row>
    <row r="657" spans="1:23" x14ac:dyDescent="0.25">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c r="W657" s="137"/>
    </row>
    <row r="658" spans="1:23" x14ac:dyDescent="0.25">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c r="W658" s="137"/>
    </row>
    <row r="659" spans="1:23" x14ac:dyDescent="0.25">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c r="W659" s="137"/>
    </row>
    <row r="660" spans="1:23" x14ac:dyDescent="0.25">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c r="W660" s="137"/>
    </row>
    <row r="661" spans="1:23" x14ac:dyDescent="0.25">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c r="W661" s="137"/>
    </row>
    <row r="662" spans="1:23" x14ac:dyDescent="0.25">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c r="W662" s="137"/>
    </row>
    <row r="663" spans="1:23" x14ac:dyDescent="0.25">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c r="W663" s="137"/>
    </row>
    <row r="664" spans="1:23" x14ac:dyDescent="0.25">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c r="W664" s="137"/>
    </row>
    <row r="665" spans="1:23" x14ac:dyDescent="0.25">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c r="W665" s="137"/>
    </row>
    <row r="666" spans="1:23" x14ac:dyDescent="0.25">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c r="W666" s="137"/>
    </row>
    <row r="667" spans="1:23" x14ac:dyDescent="0.25">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c r="W667" s="137"/>
    </row>
    <row r="668" spans="1:23" x14ac:dyDescent="0.25">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c r="W668" s="137"/>
    </row>
    <row r="669" spans="1:23" x14ac:dyDescent="0.25">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c r="W669" s="137"/>
    </row>
    <row r="670" spans="1:23" x14ac:dyDescent="0.25">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c r="W670" s="137"/>
    </row>
    <row r="671" spans="1:23" x14ac:dyDescent="0.25">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c r="W671" s="137"/>
    </row>
    <row r="672" spans="1:23" x14ac:dyDescent="0.25">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c r="W672" s="137"/>
    </row>
    <row r="673" spans="1:23" x14ac:dyDescent="0.25">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c r="W673" s="137"/>
    </row>
    <row r="674" spans="1:23" x14ac:dyDescent="0.25">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c r="W674" s="137"/>
    </row>
    <row r="675" spans="1:23" x14ac:dyDescent="0.25">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c r="W675" s="137"/>
    </row>
    <row r="676" spans="1:23" x14ac:dyDescent="0.25">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c r="W676" s="137"/>
    </row>
    <row r="677" spans="1:23" x14ac:dyDescent="0.25">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c r="W677" s="137"/>
    </row>
    <row r="678" spans="1:23" x14ac:dyDescent="0.25">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c r="W678" s="137"/>
    </row>
    <row r="679" spans="1:23" x14ac:dyDescent="0.25">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c r="W679" s="137"/>
    </row>
    <row r="680" spans="1:23" x14ac:dyDescent="0.25">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c r="W680" s="137"/>
    </row>
    <row r="681" spans="1:23" x14ac:dyDescent="0.25">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c r="W681" s="137"/>
    </row>
    <row r="682" spans="1:23" x14ac:dyDescent="0.25">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c r="W682" s="137"/>
    </row>
    <row r="683" spans="1:23" x14ac:dyDescent="0.25">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c r="W683" s="137"/>
    </row>
    <row r="684" spans="1:23" x14ac:dyDescent="0.25">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c r="W684" s="137"/>
    </row>
    <row r="685" spans="1:23" x14ac:dyDescent="0.25">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c r="W685" s="137"/>
    </row>
    <row r="686" spans="1:23" x14ac:dyDescent="0.25">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c r="W686" s="137"/>
    </row>
    <row r="687" spans="1:23" x14ac:dyDescent="0.25">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c r="W687" s="137"/>
    </row>
    <row r="688" spans="1:23" x14ac:dyDescent="0.25">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c r="W688" s="137"/>
    </row>
    <row r="689" spans="1:23" x14ac:dyDescent="0.25">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c r="W689" s="137"/>
    </row>
    <row r="690" spans="1:23" x14ac:dyDescent="0.25">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c r="W690" s="137"/>
    </row>
    <row r="691" spans="1:23" x14ac:dyDescent="0.25">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c r="W691" s="137"/>
    </row>
    <row r="692" spans="1:23" x14ac:dyDescent="0.25">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c r="W692" s="137"/>
    </row>
    <row r="693" spans="1:23" x14ac:dyDescent="0.25">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c r="W693" s="137"/>
    </row>
    <row r="694" spans="1:23" x14ac:dyDescent="0.25">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c r="W694" s="137"/>
    </row>
    <row r="695" spans="1:23" x14ac:dyDescent="0.25">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c r="W695" s="137"/>
    </row>
    <row r="696" spans="1:23" x14ac:dyDescent="0.25">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c r="W696" s="137"/>
    </row>
    <row r="697" spans="1:23" x14ac:dyDescent="0.25">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c r="W697" s="137"/>
    </row>
    <row r="698" spans="1:23" x14ac:dyDescent="0.25">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c r="W698" s="137"/>
    </row>
    <row r="699" spans="1:23" x14ac:dyDescent="0.25">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c r="W699" s="137"/>
    </row>
    <row r="700" spans="1:23" x14ac:dyDescent="0.25">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c r="W700" s="137"/>
    </row>
    <row r="701" spans="1:23" x14ac:dyDescent="0.25">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c r="W701" s="137"/>
    </row>
    <row r="702" spans="1:23" x14ac:dyDescent="0.25">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c r="W702" s="137"/>
    </row>
    <row r="703" spans="1:23" x14ac:dyDescent="0.25">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c r="W703" s="137"/>
    </row>
    <row r="704" spans="1:23" x14ac:dyDescent="0.25">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c r="W704" s="137"/>
    </row>
    <row r="705" spans="1:23" x14ac:dyDescent="0.25">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c r="W705" s="137"/>
    </row>
    <row r="706" spans="1:23" x14ac:dyDescent="0.25">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c r="W706" s="137"/>
    </row>
    <row r="707" spans="1:23" x14ac:dyDescent="0.25">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c r="W707" s="137"/>
    </row>
    <row r="708" spans="1:23" x14ac:dyDescent="0.25">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c r="W708" s="137"/>
    </row>
    <row r="709" spans="1:23" x14ac:dyDescent="0.25">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c r="W709" s="137"/>
    </row>
    <row r="710" spans="1:23" x14ac:dyDescent="0.25">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c r="W710" s="137"/>
    </row>
    <row r="711" spans="1:23" x14ac:dyDescent="0.25">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c r="W711" s="137"/>
    </row>
    <row r="712" spans="1:23" x14ac:dyDescent="0.25">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c r="W712" s="137"/>
    </row>
    <row r="713" spans="1:23" x14ac:dyDescent="0.25">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c r="W713" s="137"/>
    </row>
    <row r="714" spans="1:23" x14ac:dyDescent="0.25">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c r="W714" s="137"/>
    </row>
    <row r="715" spans="1:23" x14ac:dyDescent="0.25">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7"/>
    </row>
    <row r="716" spans="1:23" x14ac:dyDescent="0.25">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c r="W716" s="137"/>
    </row>
    <row r="717" spans="1:23" x14ac:dyDescent="0.25">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c r="W717" s="137"/>
    </row>
    <row r="718" spans="1:23" x14ac:dyDescent="0.25">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c r="W718" s="137"/>
    </row>
    <row r="719" spans="1:23" x14ac:dyDescent="0.25">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c r="W719" s="137"/>
    </row>
    <row r="720" spans="1:23" x14ac:dyDescent="0.25">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c r="W720" s="137"/>
    </row>
    <row r="721" spans="1:23" x14ac:dyDescent="0.25">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c r="W721" s="137"/>
    </row>
    <row r="722" spans="1:23" x14ac:dyDescent="0.25">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c r="W722" s="137"/>
    </row>
    <row r="723" spans="1:23" x14ac:dyDescent="0.25">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c r="W723" s="137"/>
    </row>
    <row r="724" spans="1:23" x14ac:dyDescent="0.25">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c r="W724" s="137"/>
    </row>
    <row r="725" spans="1:23" x14ac:dyDescent="0.25">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c r="W725" s="137"/>
    </row>
    <row r="726" spans="1:23" x14ac:dyDescent="0.25">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c r="W726" s="137"/>
    </row>
    <row r="727" spans="1:23" x14ac:dyDescent="0.25">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c r="W727" s="137"/>
    </row>
    <row r="728" spans="1:23" x14ac:dyDescent="0.25">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c r="W728" s="137"/>
    </row>
    <row r="729" spans="1:23" x14ac:dyDescent="0.25">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c r="W729" s="137"/>
    </row>
    <row r="730" spans="1:23" x14ac:dyDescent="0.25">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c r="W730" s="137"/>
    </row>
    <row r="731" spans="1:23" x14ac:dyDescent="0.25">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c r="W731" s="137"/>
    </row>
    <row r="732" spans="1:23" x14ac:dyDescent="0.25">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c r="W732" s="137"/>
    </row>
    <row r="733" spans="1:23" x14ac:dyDescent="0.25">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c r="W733" s="137"/>
    </row>
    <row r="734" spans="1:23" x14ac:dyDescent="0.25">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c r="W734" s="137"/>
    </row>
    <row r="735" spans="1:23" x14ac:dyDescent="0.25">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c r="W735" s="137"/>
    </row>
    <row r="736" spans="1:23" x14ac:dyDescent="0.25">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c r="W736" s="137"/>
    </row>
    <row r="737" spans="1:23" x14ac:dyDescent="0.25">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c r="W737" s="137"/>
    </row>
    <row r="738" spans="1:23" x14ac:dyDescent="0.25">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c r="W738" s="137"/>
    </row>
    <row r="739" spans="1:23" x14ac:dyDescent="0.25">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c r="W739" s="137"/>
    </row>
    <row r="740" spans="1:23" x14ac:dyDescent="0.25">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c r="W740" s="137"/>
    </row>
    <row r="741" spans="1:23" x14ac:dyDescent="0.25">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c r="W741" s="137"/>
    </row>
    <row r="742" spans="1:23" x14ac:dyDescent="0.25">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c r="W742" s="137"/>
    </row>
    <row r="743" spans="1:23" x14ac:dyDescent="0.25">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c r="W743" s="137"/>
    </row>
    <row r="744" spans="1:23" x14ac:dyDescent="0.25">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c r="W744" s="137"/>
    </row>
    <row r="745" spans="1:23" x14ac:dyDescent="0.25">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c r="W745" s="137"/>
    </row>
    <row r="746" spans="1:23" x14ac:dyDescent="0.25">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c r="W746" s="137"/>
    </row>
    <row r="747" spans="1:23" x14ac:dyDescent="0.25">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c r="W747" s="137"/>
    </row>
    <row r="748" spans="1:23" x14ac:dyDescent="0.25">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c r="W748" s="137"/>
    </row>
    <row r="749" spans="1:23" x14ac:dyDescent="0.25">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c r="W749" s="137"/>
    </row>
    <row r="750" spans="1:23" x14ac:dyDescent="0.25">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c r="W750" s="137"/>
    </row>
    <row r="751" spans="1:23" x14ac:dyDescent="0.25">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c r="W751" s="137"/>
    </row>
    <row r="752" spans="1:23" x14ac:dyDescent="0.25">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c r="W752" s="137"/>
    </row>
    <row r="753" spans="1:23" x14ac:dyDescent="0.25">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c r="W753" s="137"/>
    </row>
    <row r="754" spans="1:23" x14ac:dyDescent="0.25">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c r="W754" s="137"/>
    </row>
    <row r="755" spans="1:23" x14ac:dyDescent="0.25">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c r="W755" s="137"/>
    </row>
    <row r="756" spans="1:23" x14ac:dyDescent="0.25">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c r="W756" s="137"/>
    </row>
    <row r="757" spans="1:23" x14ac:dyDescent="0.25">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c r="W757" s="137"/>
    </row>
    <row r="758" spans="1:23" x14ac:dyDescent="0.25">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c r="W758" s="137"/>
    </row>
    <row r="759" spans="1:23" x14ac:dyDescent="0.25">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c r="W759" s="137"/>
    </row>
    <row r="760" spans="1:23" x14ac:dyDescent="0.25">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c r="W760" s="137"/>
    </row>
    <row r="761" spans="1:23" x14ac:dyDescent="0.25">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c r="W761" s="137"/>
    </row>
    <row r="762" spans="1:23" x14ac:dyDescent="0.25">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c r="W762" s="137"/>
    </row>
    <row r="763" spans="1:23" x14ac:dyDescent="0.25">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c r="W763" s="137"/>
    </row>
    <row r="764" spans="1:23" x14ac:dyDescent="0.25">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c r="W764" s="137"/>
    </row>
    <row r="765" spans="1:23" x14ac:dyDescent="0.25">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c r="W765" s="137"/>
    </row>
    <row r="766" spans="1:23" x14ac:dyDescent="0.25">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c r="W766" s="137"/>
    </row>
    <row r="767" spans="1:23" x14ac:dyDescent="0.25">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c r="W767" s="137"/>
    </row>
    <row r="768" spans="1:23" x14ac:dyDescent="0.25">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c r="W768" s="137"/>
    </row>
    <row r="769" spans="1:23" x14ac:dyDescent="0.25">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c r="W769" s="137"/>
    </row>
    <row r="770" spans="1:23" x14ac:dyDescent="0.25">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c r="W770" s="137"/>
    </row>
    <row r="771" spans="1:23" x14ac:dyDescent="0.25">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c r="W771" s="137"/>
    </row>
    <row r="772" spans="1:23" x14ac:dyDescent="0.25">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c r="W772" s="137"/>
    </row>
    <row r="773" spans="1:23" x14ac:dyDescent="0.25">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c r="W773" s="137"/>
    </row>
    <row r="774" spans="1:23" x14ac:dyDescent="0.25">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c r="W774" s="137"/>
    </row>
    <row r="775" spans="1:23" x14ac:dyDescent="0.25">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c r="W775" s="137"/>
    </row>
    <row r="776" spans="1:23" x14ac:dyDescent="0.25">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c r="W776" s="137"/>
    </row>
    <row r="777" spans="1:23" x14ac:dyDescent="0.25">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c r="W777" s="137"/>
    </row>
    <row r="778" spans="1:23" x14ac:dyDescent="0.25">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c r="W778" s="137"/>
    </row>
    <row r="779" spans="1:23" x14ac:dyDescent="0.25">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c r="W779" s="137"/>
    </row>
    <row r="780" spans="1:23" x14ac:dyDescent="0.25">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c r="W780" s="137"/>
    </row>
    <row r="781" spans="1:23" x14ac:dyDescent="0.25">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c r="W781" s="137"/>
    </row>
    <row r="782" spans="1:23" x14ac:dyDescent="0.25">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c r="W782" s="137"/>
    </row>
    <row r="783" spans="1:23" x14ac:dyDescent="0.25">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c r="W783" s="137"/>
    </row>
    <row r="784" spans="1:23" x14ac:dyDescent="0.25">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c r="W784" s="137"/>
    </row>
    <row r="785" spans="1:23" x14ac:dyDescent="0.25">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c r="W785" s="137"/>
    </row>
    <row r="786" spans="1:23" x14ac:dyDescent="0.25">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c r="W786" s="137"/>
    </row>
    <row r="787" spans="1:23" x14ac:dyDescent="0.25">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c r="W787" s="137"/>
    </row>
    <row r="788" spans="1:23" x14ac:dyDescent="0.25">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c r="W788" s="137"/>
    </row>
    <row r="789" spans="1:23" x14ac:dyDescent="0.25">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c r="W789" s="137"/>
    </row>
    <row r="790" spans="1:23" x14ac:dyDescent="0.25">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c r="W790" s="137"/>
    </row>
    <row r="791" spans="1:23" x14ac:dyDescent="0.25">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c r="W791" s="137"/>
    </row>
    <row r="792" spans="1:23" x14ac:dyDescent="0.25">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c r="W792" s="137"/>
    </row>
    <row r="793" spans="1:23" x14ac:dyDescent="0.25">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c r="W793" s="137"/>
    </row>
    <row r="794" spans="1:23" x14ac:dyDescent="0.25">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7"/>
    </row>
    <row r="795" spans="1:23" x14ac:dyDescent="0.25">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c r="W795" s="137"/>
    </row>
    <row r="796" spans="1:23" x14ac:dyDescent="0.25">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c r="W796" s="137"/>
    </row>
    <row r="797" spans="1:23" x14ac:dyDescent="0.25">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c r="W797" s="137"/>
    </row>
    <row r="798" spans="1:23" x14ac:dyDescent="0.25">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c r="W798" s="137"/>
    </row>
    <row r="799" spans="1:23" x14ac:dyDescent="0.25">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c r="W799" s="137"/>
    </row>
    <row r="800" spans="1:23" x14ac:dyDescent="0.25">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c r="W800" s="137"/>
    </row>
    <row r="801" spans="1:23" x14ac:dyDescent="0.25">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c r="W801" s="137"/>
    </row>
    <row r="802" spans="1:23" x14ac:dyDescent="0.25">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c r="W802" s="137"/>
    </row>
    <row r="803" spans="1:23" x14ac:dyDescent="0.25">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c r="W803" s="137"/>
    </row>
    <row r="804" spans="1:23" x14ac:dyDescent="0.25">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c r="W804" s="137"/>
    </row>
    <row r="805" spans="1:23" x14ac:dyDescent="0.25">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c r="W805" s="137"/>
    </row>
    <row r="806" spans="1:23" x14ac:dyDescent="0.25">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c r="W806" s="137"/>
    </row>
    <row r="807" spans="1:23" x14ac:dyDescent="0.25">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c r="W807" s="137"/>
    </row>
    <row r="808" spans="1:23" x14ac:dyDescent="0.25">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c r="W808" s="137"/>
    </row>
    <row r="809" spans="1:23" x14ac:dyDescent="0.25">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c r="W809" s="137"/>
    </row>
    <row r="810" spans="1:23" x14ac:dyDescent="0.25">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c r="W810" s="137"/>
    </row>
    <row r="811" spans="1:23" x14ac:dyDescent="0.25">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c r="W811" s="137"/>
    </row>
    <row r="812" spans="1:23" x14ac:dyDescent="0.25">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c r="W812" s="137"/>
    </row>
    <row r="813" spans="1:23" x14ac:dyDescent="0.25">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c r="W813" s="137"/>
    </row>
    <row r="814" spans="1:23" x14ac:dyDescent="0.25">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c r="W814" s="137"/>
    </row>
    <row r="815" spans="1:23" x14ac:dyDescent="0.25">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c r="W815" s="137"/>
    </row>
    <row r="816" spans="1:23" x14ac:dyDescent="0.25">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c r="W816" s="137"/>
    </row>
    <row r="817" spans="1:23" x14ac:dyDescent="0.25">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c r="W817" s="137"/>
    </row>
    <row r="818" spans="1:23" x14ac:dyDescent="0.25">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c r="W818" s="137"/>
    </row>
    <row r="819" spans="1:23" x14ac:dyDescent="0.25">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c r="W819" s="137"/>
    </row>
    <row r="820" spans="1:23" x14ac:dyDescent="0.25">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c r="W820" s="137"/>
    </row>
    <row r="821" spans="1:23" x14ac:dyDescent="0.25">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row>
    <row r="822" spans="1:23" x14ac:dyDescent="0.25">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c r="W822" s="137"/>
    </row>
    <row r="823" spans="1:23" x14ac:dyDescent="0.25">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c r="W823" s="137"/>
    </row>
    <row r="824" spans="1:23" x14ac:dyDescent="0.25">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c r="W824" s="137"/>
    </row>
    <row r="825" spans="1:23" x14ac:dyDescent="0.25">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c r="W825" s="137"/>
    </row>
    <row r="826" spans="1:23" x14ac:dyDescent="0.25">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c r="W826" s="137"/>
    </row>
    <row r="827" spans="1:23" x14ac:dyDescent="0.25">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c r="W827" s="137"/>
    </row>
    <row r="828" spans="1:23" x14ac:dyDescent="0.25">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c r="W828" s="137"/>
    </row>
    <row r="829" spans="1:23" x14ac:dyDescent="0.25">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c r="W829" s="137"/>
    </row>
    <row r="830" spans="1:23" x14ac:dyDescent="0.25">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c r="W830" s="137"/>
    </row>
    <row r="831" spans="1:23" x14ac:dyDescent="0.25">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c r="W831" s="137"/>
    </row>
    <row r="832" spans="1:23" x14ac:dyDescent="0.25">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c r="W832" s="137"/>
    </row>
    <row r="833" spans="1:23" x14ac:dyDescent="0.25">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c r="W833" s="137"/>
    </row>
    <row r="834" spans="1:23" x14ac:dyDescent="0.25">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c r="W834" s="137"/>
    </row>
    <row r="835" spans="1:23" x14ac:dyDescent="0.25">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c r="W835" s="137"/>
    </row>
    <row r="836" spans="1:23" x14ac:dyDescent="0.25">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c r="W836" s="137"/>
    </row>
    <row r="837" spans="1:23" x14ac:dyDescent="0.25">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c r="W837" s="137"/>
    </row>
    <row r="838" spans="1:23" x14ac:dyDescent="0.25">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c r="W838" s="137"/>
    </row>
    <row r="839" spans="1:23" x14ac:dyDescent="0.25">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c r="W839" s="137"/>
    </row>
    <row r="840" spans="1:23" x14ac:dyDescent="0.25">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c r="W840" s="137"/>
    </row>
    <row r="841" spans="1:23" x14ac:dyDescent="0.25">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c r="W841" s="137"/>
    </row>
    <row r="842" spans="1:23" x14ac:dyDescent="0.25">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c r="W842" s="137"/>
    </row>
    <row r="843" spans="1:23" x14ac:dyDescent="0.25">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c r="W843" s="137"/>
    </row>
    <row r="844" spans="1:23" x14ac:dyDescent="0.25">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c r="W844" s="137"/>
    </row>
    <row r="845" spans="1:23" x14ac:dyDescent="0.25">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c r="W845" s="137"/>
    </row>
    <row r="846" spans="1:23" x14ac:dyDescent="0.25">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c r="W846" s="137"/>
    </row>
    <row r="847" spans="1:23" x14ac:dyDescent="0.25">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c r="W847" s="137"/>
    </row>
    <row r="848" spans="1:23" x14ac:dyDescent="0.25">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c r="W848" s="137"/>
    </row>
    <row r="849" spans="1:23" x14ac:dyDescent="0.25">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c r="W849" s="137"/>
    </row>
    <row r="850" spans="1:23" x14ac:dyDescent="0.25">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c r="W850" s="137"/>
    </row>
    <row r="851" spans="1:23" x14ac:dyDescent="0.25">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c r="W851" s="137"/>
    </row>
    <row r="852" spans="1:23" x14ac:dyDescent="0.25">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c r="W852" s="137"/>
    </row>
    <row r="853" spans="1:23" x14ac:dyDescent="0.25">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c r="W853" s="137"/>
    </row>
    <row r="854" spans="1:23" x14ac:dyDescent="0.25">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c r="W854" s="137"/>
    </row>
    <row r="855" spans="1:23" x14ac:dyDescent="0.25">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c r="W855" s="137"/>
    </row>
    <row r="856" spans="1:23" x14ac:dyDescent="0.25">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c r="W856" s="137"/>
    </row>
    <row r="857" spans="1:23" x14ac:dyDescent="0.25">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c r="W857" s="137"/>
    </row>
    <row r="858" spans="1:23" x14ac:dyDescent="0.25">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c r="W858" s="137"/>
    </row>
    <row r="859" spans="1:23" x14ac:dyDescent="0.25">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c r="W859" s="137"/>
    </row>
    <row r="860" spans="1:23" x14ac:dyDescent="0.25">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c r="W860" s="137"/>
    </row>
    <row r="861" spans="1:23" x14ac:dyDescent="0.25">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c r="W861" s="137"/>
    </row>
    <row r="862" spans="1:23" x14ac:dyDescent="0.25">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c r="W862" s="137"/>
    </row>
    <row r="863" spans="1:23" x14ac:dyDescent="0.25">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c r="W863" s="137"/>
    </row>
    <row r="864" spans="1:23" x14ac:dyDescent="0.25">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c r="W864" s="137"/>
    </row>
    <row r="865" spans="1:23" x14ac:dyDescent="0.25">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c r="W865" s="137"/>
    </row>
    <row r="866" spans="1:23" x14ac:dyDescent="0.25">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c r="W866" s="137"/>
    </row>
    <row r="867" spans="1:23" x14ac:dyDescent="0.25">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c r="W867" s="137"/>
    </row>
    <row r="868" spans="1:23" x14ac:dyDescent="0.25">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c r="W868" s="137"/>
    </row>
    <row r="869" spans="1:23" x14ac:dyDescent="0.25">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c r="W869" s="137"/>
    </row>
    <row r="870" spans="1:23" x14ac:dyDescent="0.25">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c r="W870" s="137"/>
    </row>
    <row r="871" spans="1:23" x14ac:dyDescent="0.25">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c r="W871" s="137"/>
    </row>
    <row r="872" spans="1:23" x14ac:dyDescent="0.25">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c r="W872" s="137"/>
    </row>
    <row r="873" spans="1:23" x14ac:dyDescent="0.25">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7"/>
    </row>
    <row r="874" spans="1:23" x14ac:dyDescent="0.25">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c r="W874" s="137"/>
    </row>
    <row r="875" spans="1:23" x14ac:dyDescent="0.25">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c r="W875" s="137"/>
    </row>
    <row r="876" spans="1:23" x14ac:dyDescent="0.25">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c r="W876" s="137"/>
    </row>
    <row r="877" spans="1:23" x14ac:dyDescent="0.25">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c r="W877" s="137"/>
    </row>
    <row r="878" spans="1:23" x14ac:dyDescent="0.25">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c r="W878" s="137"/>
    </row>
    <row r="879" spans="1:23" x14ac:dyDescent="0.25">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c r="W879" s="137"/>
    </row>
    <row r="880" spans="1:23" x14ac:dyDescent="0.25">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c r="W880" s="137"/>
    </row>
    <row r="881" spans="1:23" x14ac:dyDescent="0.25">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c r="W881" s="137"/>
    </row>
    <row r="882" spans="1:23" x14ac:dyDescent="0.25">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c r="W882" s="137"/>
    </row>
    <row r="883" spans="1:23" x14ac:dyDescent="0.25">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c r="W883" s="137"/>
    </row>
    <row r="884" spans="1:23" x14ac:dyDescent="0.25">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c r="W884" s="137"/>
    </row>
    <row r="885" spans="1:23" x14ac:dyDescent="0.25">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c r="W885" s="137"/>
    </row>
    <row r="886" spans="1:23" x14ac:dyDescent="0.25">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c r="W886" s="137"/>
    </row>
    <row r="887" spans="1:23" x14ac:dyDescent="0.25">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c r="W887" s="137"/>
    </row>
    <row r="888" spans="1:23" x14ac:dyDescent="0.25">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c r="W888" s="137"/>
    </row>
    <row r="889" spans="1:23" x14ac:dyDescent="0.25">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c r="W889" s="137"/>
    </row>
    <row r="890" spans="1:23" x14ac:dyDescent="0.25">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c r="W890" s="137"/>
    </row>
    <row r="891" spans="1:23" x14ac:dyDescent="0.25">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c r="W891" s="137"/>
    </row>
    <row r="892" spans="1:23" x14ac:dyDescent="0.25">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c r="W892" s="137"/>
    </row>
    <row r="893" spans="1:23" x14ac:dyDescent="0.25">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c r="W893" s="137"/>
    </row>
    <row r="894" spans="1:23" x14ac:dyDescent="0.25">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c r="W894" s="137"/>
    </row>
    <row r="895" spans="1:23" x14ac:dyDescent="0.25">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c r="W895" s="137"/>
    </row>
    <row r="896" spans="1:23" x14ac:dyDescent="0.25">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c r="W896" s="137"/>
    </row>
    <row r="897" spans="1:23" x14ac:dyDescent="0.25">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c r="W897" s="137"/>
    </row>
    <row r="898" spans="1:23" x14ac:dyDescent="0.25">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c r="W898" s="137"/>
    </row>
    <row r="899" spans="1:23" x14ac:dyDescent="0.25">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c r="W899" s="137"/>
    </row>
    <row r="900" spans="1:23" x14ac:dyDescent="0.25">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c r="W900" s="137"/>
    </row>
    <row r="901" spans="1:23" x14ac:dyDescent="0.25">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c r="W901" s="137"/>
    </row>
    <row r="902" spans="1:23" x14ac:dyDescent="0.25">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c r="W902" s="137"/>
    </row>
    <row r="903" spans="1:23" x14ac:dyDescent="0.25">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c r="W903" s="137"/>
    </row>
    <row r="904" spans="1:23" x14ac:dyDescent="0.25">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c r="W904" s="137"/>
    </row>
    <row r="905" spans="1:23" x14ac:dyDescent="0.25">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c r="W905" s="137"/>
    </row>
    <row r="906" spans="1:23" x14ac:dyDescent="0.25">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c r="W906" s="137"/>
    </row>
    <row r="907" spans="1:23" x14ac:dyDescent="0.25">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c r="W907" s="137"/>
    </row>
    <row r="908" spans="1:23" x14ac:dyDescent="0.25">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c r="W908" s="137"/>
    </row>
    <row r="909" spans="1:23" x14ac:dyDescent="0.25">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c r="W909" s="137"/>
    </row>
    <row r="910" spans="1:23" x14ac:dyDescent="0.25">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c r="W910" s="137"/>
    </row>
    <row r="911" spans="1:23" x14ac:dyDescent="0.25">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c r="W911" s="137"/>
    </row>
    <row r="912" spans="1:23" x14ac:dyDescent="0.25">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c r="W912" s="137"/>
    </row>
    <row r="913" spans="1:23" x14ac:dyDescent="0.25">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c r="W913" s="137"/>
    </row>
    <row r="914" spans="1:23" x14ac:dyDescent="0.25">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c r="W914" s="137"/>
    </row>
    <row r="915" spans="1:23" x14ac:dyDescent="0.25">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c r="W915" s="137"/>
    </row>
    <row r="916" spans="1:23" x14ac:dyDescent="0.25">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c r="W916" s="137"/>
    </row>
    <row r="917" spans="1:23" x14ac:dyDescent="0.25">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c r="W917" s="137"/>
    </row>
    <row r="918" spans="1:23" x14ac:dyDescent="0.25">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c r="W918" s="137"/>
    </row>
    <row r="919" spans="1:23" x14ac:dyDescent="0.25">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c r="W919" s="137"/>
    </row>
    <row r="920" spans="1:23" x14ac:dyDescent="0.25">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c r="W920" s="137"/>
    </row>
    <row r="921" spans="1:23" x14ac:dyDescent="0.25">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c r="W921" s="137"/>
    </row>
    <row r="922" spans="1:23" x14ac:dyDescent="0.25">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c r="W922" s="137"/>
    </row>
    <row r="923" spans="1:23" x14ac:dyDescent="0.25">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c r="W923" s="137"/>
    </row>
    <row r="924" spans="1:23" x14ac:dyDescent="0.25">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c r="W924" s="137"/>
    </row>
    <row r="925" spans="1:23" x14ac:dyDescent="0.25">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c r="W925" s="137"/>
    </row>
    <row r="926" spans="1:23" x14ac:dyDescent="0.25">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c r="W926" s="137"/>
    </row>
    <row r="927" spans="1:23" x14ac:dyDescent="0.25">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c r="W927" s="137"/>
    </row>
    <row r="928" spans="1:23" x14ac:dyDescent="0.25">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c r="W928" s="137"/>
    </row>
    <row r="929" spans="1:23" x14ac:dyDescent="0.25">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c r="W929" s="137"/>
    </row>
    <row r="930" spans="1:23" x14ac:dyDescent="0.25">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c r="W930" s="137"/>
    </row>
    <row r="931" spans="1:23" x14ac:dyDescent="0.25">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c r="W931" s="137"/>
    </row>
    <row r="932" spans="1:23" x14ac:dyDescent="0.25">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c r="W932" s="137"/>
    </row>
    <row r="933" spans="1:23" x14ac:dyDescent="0.25">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c r="W933" s="137"/>
    </row>
    <row r="934" spans="1:23" x14ac:dyDescent="0.25">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c r="W934" s="137"/>
    </row>
    <row r="935" spans="1:23" x14ac:dyDescent="0.25">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c r="W935" s="137"/>
    </row>
    <row r="936" spans="1:23" x14ac:dyDescent="0.25">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c r="W936" s="137"/>
    </row>
    <row r="937" spans="1:23" x14ac:dyDescent="0.25">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c r="W937" s="137"/>
    </row>
    <row r="938" spans="1:23" x14ac:dyDescent="0.25">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c r="W938" s="137"/>
    </row>
    <row r="939" spans="1:23" x14ac:dyDescent="0.25">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c r="W939" s="137"/>
    </row>
    <row r="940" spans="1:23" x14ac:dyDescent="0.25">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c r="W940" s="137"/>
    </row>
    <row r="941" spans="1:23" x14ac:dyDescent="0.25">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c r="W941" s="137"/>
    </row>
    <row r="942" spans="1:23" x14ac:dyDescent="0.25">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c r="W942" s="137"/>
    </row>
    <row r="943" spans="1:23" x14ac:dyDescent="0.25">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c r="W943" s="137"/>
    </row>
    <row r="944" spans="1:23" x14ac:dyDescent="0.25">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c r="W944" s="137"/>
    </row>
    <row r="945" spans="1:23" x14ac:dyDescent="0.25">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c r="W945" s="137"/>
    </row>
    <row r="946" spans="1:23" x14ac:dyDescent="0.25">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c r="W946" s="137"/>
    </row>
    <row r="947" spans="1:23" x14ac:dyDescent="0.25">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c r="W947" s="137"/>
    </row>
    <row r="948" spans="1:23" x14ac:dyDescent="0.25">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c r="W948" s="137"/>
    </row>
    <row r="949" spans="1:23" x14ac:dyDescent="0.25">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c r="W949" s="137"/>
    </row>
    <row r="950" spans="1:23" x14ac:dyDescent="0.25">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c r="W950" s="137"/>
    </row>
    <row r="951" spans="1:23" x14ac:dyDescent="0.25">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c r="W951" s="137"/>
    </row>
    <row r="952" spans="1:23" x14ac:dyDescent="0.25">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7"/>
    </row>
    <row r="953" spans="1:23" x14ac:dyDescent="0.25">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c r="W953" s="137"/>
    </row>
    <row r="954" spans="1:23" x14ac:dyDescent="0.25">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c r="W954" s="137"/>
    </row>
    <row r="955" spans="1:23" x14ac:dyDescent="0.25">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c r="W955" s="137"/>
    </row>
    <row r="956" spans="1:23" x14ac:dyDescent="0.25">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c r="W956" s="137"/>
    </row>
    <row r="957" spans="1:23" x14ac:dyDescent="0.25">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c r="W957" s="137"/>
    </row>
    <row r="958" spans="1:23" x14ac:dyDescent="0.25">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c r="W958" s="137"/>
    </row>
    <row r="959" spans="1:23" x14ac:dyDescent="0.25">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c r="W959" s="137"/>
    </row>
    <row r="960" spans="1:23" x14ac:dyDescent="0.25">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c r="W960" s="137"/>
    </row>
    <row r="961" spans="1:23" x14ac:dyDescent="0.25">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c r="W961" s="137"/>
    </row>
    <row r="962" spans="1:23" x14ac:dyDescent="0.25">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c r="W962" s="137"/>
    </row>
    <row r="963" spans="1:23" x14ac:dyDescent="0.25">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c r="W963" s="137"/>
    </row>
    <row r="964" spans="1:23" x14ac:dyDescent="0.25">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c r="W964" s="137"/>
    </row>
    <row r="965" spans="1:23" x14ac:dyDescent="0.25">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c r="W965" s="137"/>
    </row>
    <row r="966" spans="1:23" x14ac:dyDescent="0.25">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c r="W966" s="137"/>
    </row>
    <row r="967" spans="1:23" x14ac:dyDescent="0.25">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c r="W967" s="137"/>
    </row>
    <row r="968" spans="1:23" x14ac:dyDescent="0.25">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c r="W968" s="137"/>
    </row>
    <row r="969" spans="1:23" x14ac:dyDescent="0.25">
      <c r="A969" s="137"/>
      <c r="B969" s="137"/>
      <c r="C969" s="137"/>
      <c r="D969" s="137"/>
      <c r="E969" s="137"/>
      <c r="F969" s="137"/>
      <c r="G969" s="137"/>
      <c r="H969" s="137"/>
      <c r="I969" s="137"/>
      <c r="J969" s="137"/>
      <c r="K969" s="137"/>
      <c r="L969" s="137"/>
      <c r="M969" s="137"/>
      <c r="N969" s="137"/>
      <c r="O969" s="137"/>
      <c r="P969" s="137"/>
      <c r="Q969" s="137"/>
      <c r="R969" s="137"/>
      <c r="S969" s="137"/>
      <c r="T969" s="137"/>
      <c r="U969" s="137"/>
      <c r="V969" s="137"/>
      <c r="W969" s="137"/>
    </row>
    <row r="970" spans="1:23" x14ac:dyDescent="0.25">
      <c r="A970" s="137"/>
      <c r="B970" s="137"/>
      <c r="C970" s="137"/>
      <c r="D970" s="137"/>
      <c r="E970" s="137"/>
      <c r="F970" s="137"/>
      <c r="G970" s="137"/>
      <c r="H970" s="137"/>
      <c r="I970" s="137"/>
      <c r="J970" s="137"/>
      <c r="K970" s="137"/>
      <c r="L970" s="137"/>
      <c r="M970" s="137"/>
      <c r="N970" s="137"/>
      <c r="O970" s="137"/>
      <c r="P970" s="137"/>
      <c r="Q970" s="137"/>
      <c r="R970" s="137"/>
      <c r="S970" s="137"/>
      <c r="T970" s="137"/>
      <c r="U970" s="137"/>
      <c r="V970" s="137"/>
      <c r="W970" s="137"/>
    </row>
    <row r="971" spans="1:23" x14ac:dyDescent="0.25">
      <c r="A971" s="137"/>
      <c r="B971" s="137"/>
      <c r="C971" s="137"/>
      <c r="D971" s="137"/>
      <c r="E971" s="137"/>
      <c r="F971" s="137"/>
      <c r="G971" s="137"/>
      <c r="H971" s="137"/>
      <c r="I971" s="137"/>
      <c r="J971" s="137"/>
      <c r="K971" s="137"/>
      <c r="L971" s="137"/>
      <c r="M971" s="137"/>
      <c r="N971" s="137"/>
      <c r="O971" s="137"/>
      <c r="P971" s="137"/>
      <c r="Q971" s="137"/>
      <c r="R971" s="137"/>
      <c r="S971" s="137"/>
      <c r="T971" s="137"/>
      <c r="U971" s="137"/>
      <c r="V971" s="137"/>
      <c r="W971" s="137"/>
    </row>
    <row r="972" spans="1:23" x14ac:dyDescent="0.25">
      <c r="A972" s="137"/>
      <c r="B972" s="137"/>
      <c r="C972" s="137"/>
      <c r="D972" s="137"/>
      <c r="E972" s="137"/>
      <c r="F972" s="137"/>
      <c r="G972" s="137"/>
      <c r="H972" s="137"/>
      <c r="I972" s="137"/>
      <c r="J972" s="137"/>
      <c r="K972" s="137"/>
      <c r="L972" s="137"/>
      <c r="M972" s="137"/>
      <c r="N972" s="137"/>
      <c r="O972" s="137"/>
      <c r="P972" s="137"/>
      <c r="Q972" s="137"/>
      <c r="R972" s="137"/>
      <c r="S972" s="137"/>
      <c r="T972" s="137"/>
      <c r="U972" s="137"/>
      <c r="V972" s="137"/>
      <c r="W972" s="137"/>
    </row>
    <row r="973" spans="1:23" x14ac:dyDescent="0.25">
      <c r="A973" s="137"/>
      <c r="B973" s="137"/>
      <c r="C973" s="137"/>
      <c r="D973" s="137"/>
      <c r="E973" s="137"/>
      <c r="F973" s="137"/>
      <c r="G973" s="137"/>
      <c r="H973" s="137"/>
      <c r="I973" s="137"/>
      <c r="J973" s="137"/>
      <c r="K973" s="137"/>
      <c r="L973" s="137"/>
      <c r="M973" s="137"/>
      <c r="N973" s="137"/>
      <c r="O973" s="137"/>
      <c r="P973" s="137"/>
      <c r="Q973" s="137"/>
      <c r="R973" s="137"/>
      <c r="S973" s="137"/>
      <c r="T973" s="137"/>
      <c r="U973" s="137"/>
      <c r="V973" s="137"/>
      <c r="W973" s="137"/>
    </row>
    <row r="974" spans="1:23" x14ac:dyDescent="0.25">
      <c r="A974" s="137"/>
      <c r="B974" s="137"/>
      <c r="C974" s="137"/>
      <c r="D974" s="137"/>
      <c r="E974" s="137"/>
      <c r="F974" s="137"/>
      <c r="G974" s="137"/>
      <c r="H974" s="137"/>
      <c r="I974" s="137"/>
      <c r="J974" s="137"/>
      <c r="K974" s="137"/>
      <c r="L974" s="137"/>
      <c r="M974" s="137"/>
      <c r="N974" s="137"/>
      <c r="O974" s="137"/>
      <c r="P974" s="137"/>
      <c r="Q974" s="137"/>
      <c r="R974" s="137"/>
      <c r="S974" s="137"/>
      <c r="T974" s="137"/>
      <c r="U974" s="137"/>
      <c r="V974" s="137"/>
      <c r="W974" s="137"/>
    </row>
    <row r="975" spans="1:23" x14ac:dyDescent="0.25">
      <c r="A975" s="137"/>
      <c r="B975" s="137"/>
      <c r="C975" s="137"/>
      <c r="D975" s="137"/>
      <c r="E975" s="137"/>
      <c r="F975" s="137"/>
      <c r="G975" s="137"/>
      <c r="H975" s="137"/>
      <c r="I975" s="137"/>
      <c r="J975" s="137"/>
      <c r="K975" s="137"/>
      <c r="L975" s="137"/>
      <c r="M975" s="137"/>
      <c r="N975" s="137"/>
      <c r="O975" s="137"/>
      <c r="P975" s="137"/>
      <c r="Q975" s="137"/>
      <c r="R975" s="137"/>
      <c r="S975" s="137"/>
      <c r="T975" s="137"/>
      <c r="U975" s="137"/>
      <c r="V975" s="137"/>
      <c r="W975" s="137"/>
    </row>
    <row r="976" spans="1:23" x14ac:dyDescent="0.25">
      <c r="A976" s="137"/>
      <c r="B976" s="137"/>
      <c r="C976" s="137"/>
      <c r="D976" s="137"/>
      <c r="E976" s="137"/>
      <c r="F976" s="137"/>
      <c r="G976" s="137"/>
      <c r="H976" s="137"/>
      <c r="I976" s="137"/>
      <c r="J976" s="137"/>
      <c r="K976" s="137"/>
      <c r="L976" s="137"/>
      <c r="M976" s="137"/>
      <c r="N976" s="137"/>
      <c r="O976" s="137"/>
      <c r="P976" s="137"/>
      <c r="Q976" s="137"/>
      <c r="R976" s="137"/>
      <c r="S976" s="137"/>
      <c r="T976" s="137"/>
      <c r="U976" s="137"/>
      <c r="V976" s="137"/>
      <c r="W976" s="137"/>
    </row>
    <row r="977" spans="1:23" x14ac:dyDescent="0.25">
      <c r="A977" s="137"/>
      <c r="B977" s="137"/>
      <c r="C977" s="137"/>
      <c r="D977" s="137"/>
      <c r="E977" s="137"/>
      <c r="F977" s="137"/>
      <c r="G977" s="137"/>
      <c r="H977" s="137"/>
      <c r="I977" s="137"/>
      <c r="J977" s="137"/>
      <c r="K977" s="137"/>
      <c r="L977" s="137"/>
      <c r="M977" s="137"/>
      <c r="N977" s="137"/>
      <c r="O977" s="137"/>
      <c r="P977" s="137"/>
      <c r="Q977" s="137"/>
      <c r="R977" s="137"/>
      <c r="S977" s="137"/>
      <c r="T977" s="137"/>
      <c r="U977" s="137"/>
      <c r="V977" s="137"/>
      <c r="W977" s="137"/>
    </row>
    <row r="978" spans="1:23" x14ac:dyDescent="0.25">
      <c r="A978" s="137"/>
      <c r="B978" s="137"/>
      <c r="C978" s="137"/>
      <c r="D978" s="137"/>
      <c r="E978" s="137"/>
      <c r="F978" s="137"/>
      <c r="G978" s="137"/>
      <c r="H978" s="137"/>
      <c r="I978" s="137"/>
      <c r="J978" s="137"/>
      <c r="K978" s="137"/>
      <c r="L978" s="137"/>
      <c r="M978" s="137"/>
      <c r="N978" s="137"/>
      <c r="O978" s="137"/>
      <c r="P978" s="137"/>
      <c r="Q978" s="137"/>
      <c r="R978" s="137"/>
      <c r="S978" s="137"/>
      <c r="T978" s="137"/>
      <c r="U978" s="137"/>
      <c r="V978" s="137"/>
      <c r="W978" s="137"/>
    </row>
    <row r="979" spans="1:23" x14ac:dyDescent="0.25">
      <c r="A979" s="137"/>
      <c r="B979" s="137"/>
      <c r="C979" s="137"/>
      <c r="D979" s="137"/>
      <c r="E979" s="137"/>
      <c r="F979" s="137"/>
      <c r="G979" s="137"/>
      <c r="H979" s="137"/>
      <c r="I979" s="137"/>
      <c r="J979" s="137"/>
      <c r="K979" s="137"/>
      <c r="L979" s="137"/>
      <c r="M979" s="137"/>
      <c r="N979" s="137"/>
      <c r="O979" s="137"/>
      <c r="P979" s="137"/>
      <c r="Q979" s="137"/>
      <c r="R979" s="137"/>
      <c r="S979" s="137"/>
      <c r="T979" s="137"/>
      <c r="U979" s="137"/>
      <c r="V979" s="137"/>
      <c r="W979" s="137"/>
    </row>
    <row r="980" spans="1:23" x14ac:dyDescent="0.25">
      <c r="A980" s="137"/>
      <c r="B980" s="137"/>
      <c r="C980" s="137"/>
      <c r="D980" s="137"/>
      <c r="E980" s="137"/>
      <c r="F980" s="137"/>
      <c r="G980" s="137"/>
      <c r="H980" s="137"/>
      <c r="I980" s="137"/>
      <c r="J980" s="137"/>
      <c r="K980" s="137"/>
      <c r="L980" s="137"/>
      <c r="M980" s="137"/>
      <c r="N980" s="137"/>
      <c r="O980" s="137"/>
      <c r="P980" s="137"/>
      <c r="Q980" s="137"/>
      <c r="R980" s="137"/>
      <c r="S980" s="137"/>
      <c r="T980" s="137"/>
      <c r="U980" s="137"/>
      <c r="V980" s="137"/>
      <c r="W980" s="137"/>
    </row>
    <row r="981" spans="1:23" x14ac:dyDescent="0.25">
      <c r="A981" s="137"/>
      <c r="B981" s="137"/>
      <c r="C981" s="137"/>
      <c r="D981" s="137"/>
      <c r="E981" s="137"/>
      <c r="F981" s="137"/>
      <c r="G981" s="137"/>
      <c r="H981" s="137"/>
      <c r="I981" s="137"/>
      <c r="J981" s="137"/>
      <c r="K981" s="137"/>
      <c r="L981" s="137"/>
      <c r="M981" s="137"/>
      <c r="N981" s="137"/>
      <c r="O981" s="137"/>
      <c r="P981" s="137"/>
      <c r="Q981" s="137"/>
      <c r="R981" s="137"/>
      <c r="S981" s="137"/>
      <c r="T981" s="137"/>
      <c r="U981" s="137"/>
      <c r="V981" s="137"/>
      <c r="W981" s="137"/>
    </row>
    <row r="982" spans="1:23" x14ac:dyDescent="0.25">
      <c r="A982" s="137"/>
      <c r="B982" s="137"/>
      <c r="C982" s="137"/>
      <c r="D982" s="137"/>
      <c r="E982" s="137"/>
      <c r="F982" s="137"/>
      <c r="G982" s="137"/>
      <c r="H982" s="137"/>
      <c r="I982" s="137"/>
      <c r="J982" s="137"/>
      <c r="K982" s="137"/>
      <c r="L982" s="137"/>
      <c r="M982" s="137"/>
      <c r="N982" s="137"/>
      <c r="O982" s="137"/>
      <c r="P982" s="137"/>
      <c r="Q982" s="137"/>
      <c r="R982" s="137"/>
      <c r="S982" s="137"/>
      <c r="T982" s="137"/>
      <c r="U982" s="137"/>
      <c r="V982" s="137"/>
      <c r="W982" s="137"/>
    </row>
    <row r="983" spans="1:23" x14ac:dyDescent="0.25">
      <c r="A983" s="137"/>
      <c r="B983" s="137"/>
      <c r="C983" s="137"/>
      <c r="D983" s="137"/>
      <c r="E983" s="137"/>
      <c r="F983" s="137"/>
      <c r="G983" s="137"/>
      <c r="H983" s="137"/>
      <c r="I983" s="137"/>
      <c r="J983" s="137"/>
      <c r="K983" s="137"/>
      <c r="L983" s="137"/>
      <c r="M983" s="137"/>
      <c r="N983" s="137"/>
      <c r="O983" s="137"/>
      <c r="P983" s="137"/>
      <c r="Q983" s="137"/>
      <c r="R983" s="137"/>
      <c r="S983" s="137"/>
      <c r="T983" s="137"/>
      <c r="U983" s="137"/>
      <c r="V983" s="137"/>
      <c r="W983" s="137"/>
    </row>
    <row r="984" spans="1:23" x14ac:dyDescent="0.25">
      <c r="A984" s="137"/>
      <c r="B984" s="137"/>
      <c r="C984" s="137"/>
      <c r="D984" s="137"/>
      <c r="E984" s="137"/>
      <c r="F984" s="137"/>
      <c r="G984" s="137"/>
      <c r="H984" s="137"/>
      <c r="I984" s="137"/>
      <c r="J984" s="137"/>
      <c r="K984" s="137"/>
      <c r="L984" s="137"/>
      <c r="M984" s="137"/>
      <c r="N984" s="137"/>
      <c r="O984" s="137"/>
      <c r="P984" s="137"/>
      <c r="Q984" s="137"/>
      <c r="R984" s="137"/>
      <c r="S984" s="137"/>
      <c r="T984" s="137"/>
      <c r="U984" s="137"/>
      <c r="V984" s="137"/>
      <c r="W984" s="137"/>
    </row>
    <row r="985" spans="1:23" x14ac:dyDescent="0.25">
      <c r="A985" s="137"/>
      <c r="B985" s="137"/>
      <c r="C985" s="137"/>
      <c r="D985" s="137"/>
      <c r="E985" s="137"/>
      <c r="F985" s="137"/>
      <c r="G985" s="137"/>
      <c r="H985" s="137"/>
      <c r="I985" s="137"/>
      <c r="J985" s="137"/>
      <c r="K985" s="137"/>
      <c r="L985" s="137"/>
      <c r="M985" s="137"/>
      <c r="N985" s="137"/>
      <c r="O985" s="137"/>
      <c r="P985" s="137"/>
      <c r="Q985" s="137"/>
      <c r="R985" s="137"/>
      <c r="S985" s="137"/>
      <c r="T985" s="137"/>
      <c r="U985" s="137"/>
      <c r="V985" s="137"/>
      <c r="W985" s="137"/>
    </row>
    <row r="986" spans="1:23" x14ac:dyDescent="0.25">
      <c r="A986" s="137"/>
      <c r="B986" s="137"/>
      <c r="C986" s="137"/>
      <c r="D986" s="137"/>
      <c r="E986" s="137"/>
      <c r="F986" s="137"/>
      <c r="G986" s="137"/>
      <c r="H986" s="137"/>
      <c r="I986" s="137"/>
      <c r="J986" s="137"/>
      <c r="K986" s="137"/>
      <c r="L986" s="137"/>
      <c r="M986" s="137"/>
      <c r="N986" s="137"/>
      <c r="O986" s="137"/>
      <c r="P986" s="137"/>
      <c r="Q986" s="137"/>
      <c r="R986" s="137"/>
      <c r="S986" s="137"/>
      <c r="T986" s="137"/>
      <c r="U986" s="137"/>
      <c r="V986" s="137"/>
      <c r="W986" s="137"/>
    </row>
    <row r="987" spans="1:23" x14ac:dyDescent="0.25">
      <c r="A987" s="137"/>
      <c r="B987" s="137"/>
      <c r="C987" s="137"/>
      <c r="D987" s="137"/>
      <c r="E987" s="137"/>
      <c r="F987" s="137"/>
      <c r="G987" s="137"/>
      <c r="H987" s="137"/>
      <c r="I987" s="137"/>
      <c r="J987" s="137"/>
      <c r="K987" s="137"/>
      <c r="L987" s="137"/>
      <c r="M987" s="137"/>
      <c r="N987" s="137"/>
      <c r="O987" s="137"/>
      <c r="P987" s="137"/>
      <c r="Q987" s="137"/>
      <c r="R987" s="137"/>
      <c r="S987" s="137"/>
      <c r="T987" s="137"/>
      <c r="U987" s="137"/>
      <c r="V987" s="137"/>
      <c r="W987" s="137"/>
    </row>
    <row r="988" spans="1:23" x14ac:dyDescent="0.25">
      <c r="A988" s="137"/>
      <c r="B988" s="137"/>
      <c r="C988" s="137"/>
      <c r="D988" s="137"/>
      <c r="E988" s="137"/>
      <c r="F988" s="137"/>
      <c r="G988" s="137"/>
      <c r="H988" s="137"/>
      <c r="I988" s="137"/>
      <c r="J988" s="137"/>
      <c r="K988" s="137"/>
      <c r="L988" s="137"/>
      <c r="M988" s="137"/>
      <c r="N988" s="137"/>
      <c r="O988" s="137"/>
      <c r="P988" s="137"/>
      <c r="Q988" s="137"/>
      <c r="R988" s="137"/>
      <c r="S988" s="137"/>
      <c r="T988" s="137"/>
      <c r="U988" s="137"/>
      <c r="V988" s="137"/>
      <c r="W988" s="137"/>
    </row>
    <row r="989" spans="1:23" x14ac:dyDescent="0.25">
      <c r="A989" s="137"/>
      <c r="B989" s="137"/>
      <c r="C989" s="137"/>
      <c r="D989" s="137"/>
      <c r="E989" s="137"/>
      <c r="F989" s="137"/>
      <c r="G989" s="137"/>
      <c r="H989" s="137"/>
      <c r="I989" s="137"/>
      <c r="J989" s="137"/>
      <c r="K989" s="137"/>
      <c r="L989" s="137"/>
      <c r="M989" s="137"/>
      <c r="N989" s="137"/>
      <c r="O989" s="137"/>
      <c r="P989" s="137"/>
      <c r="Q989" s="137"/>
      <c r="R989" s="137"/>
      <c r="S989" s="137"/>
      <c r="T989" s="137"/>
      <c r="U989" s="137"/>
      <c r="V989" s="137"/>
      <c r="W989" s="137"/>
    </row>
    <row r="990" spans="1:23" x14ac:dyDescent="0.25">
      <c r="A990" s="137"/>
      <c r="B990" s="137"/>
      <c r="C990" s="137"/>
      <c r="D990" s="137"/>
      <c r="E990" s="137"/>
      <c r="F990" s="137"/>
      <c r="G990" s="137"/>
      <c r="H990" s="137"/>
      <c r="I990" s="137"/>
      <c r="J990" s="137"/>
      <c r="K990" s="137"/>
      <c r="L990" s="137"/>
      <c r="M990" s="137"/>
      <c r="N990" s="137"/>
      <c r="O990" s="137"/>
      <c r="P990" s="137"/>
      <c r="Q990" s="137"/>
      <c r="R990" s="137"/>
      <c r="S990" s="137"/>
      <c r="T990" s="137"/>
      <c r="U990" s="137"/>
      <c r="V990" s="137"/>
      <c r="W990" s="137"/>
    </row>
    <row r="991" spans="1:23" x14ac:dyDescent="0.25">
      <c r="A991" s="137"/>
      <c r="B991" s="137"/>
      <c r="C991" s="137"/>
      <c r="D991" s="137"/>
      <c r="E991" s="137"/>
      <c r="F991" s="137"/>
      <c r="G991" s="137"/>
      <c r="H991" s="137"/>
      <c r="I991" s="137"/>
      <c r="J991" s="137"/>
      <c r="K991" s="137"/>
      <c r="L991" s="137"/>
      <c r="M991" s="137"/>
      <c r="N991" s="137"/>
      <c r="O991" s="137"/>
      <c r="P991" s="137"/>
      <c r="Q991" s="137"/>
      <c r="R991" s="137"/>
      <c r="S991" s="137"/>
      <c r="T991" s="137"/>
      <c r="U991" s="137"/>
      <c r="V991" s="137"/>
      <c r="W991" s="137"/>
    </row>
    <row r="992" spans="1:23" x14ac:dyDescent="0.25">
      <c r="A992" s="137"/>
      <c r="B992" s="137"/>
      <c r="C992" s="137"/>
      <c r="D992" s="137"/>
      <c r="E992" s="137"/>
      <c r="F992" s="137"/>
      <c r="G992" s="137"/>
      <c r="H992" s="137"/>
      <c r="I992" s="137"/>
      <c r="J992" s="137"/>
      <c r="K992" s="137"/>
      <c r="L992" s="137"/>
      <c r="M992" s="137"/>
      <c r="N992" s="137"/>
      <c r="O992" s="137"/>
      <c r="P992" s="137"/>
      <c r="Q992" s="137"/>
      <c r="R992" s="137"/>
      <c r="S992" s="137"/>
      <c r="T992" s="137"/>
      <c r="U992" s="137"/>
      <c r="V992" s="137"/>
      <c r="W992" s="137"/>
    </row>
    <row r="993" spans="1:23" x14ac:dyDescent="0.25">
      <c r="A993" s="137"/>
      <c r="B993" s="137"/>
      <c r="C993" s="137"/>
      <c r="D993" s="137"/>
      <c r="E993" s="137"/>
      <c r="F993" s="137"/>
      <c r="G993" s="137"/>
      <c r="H993" s="137"/>
      <c r="I993" s="137"/>
      <c r="J993" s="137"/>
      <c r="K993" s="137"/>
      <c r="L993" s="137"/>
      <c r="M993" s="137"/>
      <c r="N993" s="137"/>
      <c r="O993" s="137"/>
      <c r="P993" s="137"/>
      <c r="Q993" s="137"/>
      <c r="R993" s="137"/>
      <c r="S993" s="137"/>
      <c r="T993" s="137"/>
      <c r="U993" s="137"/>
      <c r="V993" s="137"/>
      <c r="W993" s="137"/>
    </row>
    <row r="994" spans="1:23" x14ac:dyDescent="0.25">
      <c r="A994" s="137"/>
      <c r="B994" s="137"/>
      <c r="C994" s="137"/>
      <c r="D994" s="137"/>
      <c r="E994" s="137"/>
      <c r="F994" s="137"/>
      <c r="G994" s="137"/>
      <c r="H994" s="137"/>
      <c r="I994" s="137"/>
      <c r="J994" s="137"/>
      <c r="K994" s="137"/>
      <c r="L994" s="137"/>
      <c r="M994" s="137"/>
      <c r="N994" s="137"/>
      <c r="O994" s="137"/>
      <c r="P994" s="137"/>
      <c r="Q994" s="137"/>
      <c r="R994" s="137"/>
      <c r="S994" s="137"/>
      <c r="T994" s="137"/>
      <c r="U994" s="137"/>
      <c r="V994" s="137"/>
      <c r="W994" s="137"/>
    </row>
    <row r="995" spans="1:23" x14ac:dyDescent="0.25">
      <c r="A995" s="137"/>
      <c r="B995" s="137"/>
      <c r="C995" s="137"/>
      <c r="D995" s="137"/>
      <c r="E995" s="137"/>
      <c r="F995" s="137"/>
      <c r="G995" s="137"/>
      <c r="H995" s="137"/>
      <c r="I995" s="137"/>
      <c r="J995" s="137"/>
      <c r="K995" s="137"/>
      <c r="L995" s="137"/>
      <c r="M995" s="137"/>
      <c r="N995" s="137"/>
      <c r="O995" s="137"/>
      <c r="P995" s="137"/>
      <c r="Q995" s="137"/>
      <c r="R995" s="137"/>
      <c r="S995" s="137"/>
      <c r="T995" s="137"/>
      <c r="U995" s="137"/>
      <c r="V995" s="137"/>
      <c r="W995" s="137"/>
    </row>
    <row r="996" spans="1:23" x14ac:dyDescent="0.25">
      <c r="A996" s="137"/>
      <c r="B996" s="137"/>
      <c r="C996" s="137"/>
      <c r="D996" s="137"/>
      <c r="E996" s="137"/>
      <c r="F996" s="137"/>
      <c r="G996" s="137"/>
      <c r="H996" s="137"/>
      <c r="I996" s="137"/>
      <c r="J996" s="137"/>
      <c r="K996" s="137"/>
      <c r="L996" s="137"/>
      <c r="M996" s="137"/>
      <c r="N996" s="137"/>
      <c r="O996" s="137"/>
      <c r="P996" s="137"/>
      <c r="Q996" s="137"/>
      <c r="R996" s="137"/>
      <c r="S996" s="137"/>
      <c r="T996" s="137"/>
      <c r="U996" s="137"/>
      <c r="V996" s="137"/>
      <c r="W996" s="137"/>
    </row>
    <row r="997" spans="1:23" x14ac:dyDescent="0.25">
      <c r="A997" s="137"/>
      <c r="B997" s="137"/>
      <c r="C997" s="137"/>
      <c r="D997" s="137"/>
      <c r="E997" s="137"/>
      <c r="F997" s="137"/>
      <c r="G997" s="137"/>
      <c r="H997" s="137"/>
      <c r="I997" s="137"/>
      <c r="J997" s="137"/>
      <c r="K997" s="137"/>
      <c r="L997" s="137"/>
      <c r="M997" s="137"/>
      <c r="N997" s="137"/>
      <c r="O997" s="137"/>
      <c r="P997" s="137"/>
      <c r="Q997" s="137"/>
      <c r="R997" s="137"/>
      <c r="S997" s="137"/>
      <c r="T997" s="137"/>
      <c r="U997" s="137"/>
      <c r="V997" s="137"/>
      <c r="W997" s="137"/>
    </row>
    <row r="998" spans="1:23" x14ac:dyDescent="0.25">
      <c r="A998" s="137"/>
      <c r="B998" s="137"/>
      <c r="C998" s="137"/>
      <c r="D998" s="137"/>
      <c r="E998" s="137"/>
      <c r="F998" s="137"/>
      <c r="G998" s="137"/>
      <c r="H998" s="137"/>
      <c r="I998" s="137"/>
      <c r="J998" s="137"/>
      <c r="K998" s="137"/>
      <c r="L998" s="137"/>
      <c r="M998" s="137"/>
      <c r="N998" s="137"/>
      <c r="O998" s="137"/>
      <c r="P998" s="137"/>
      <c r="Q998" s="137"/>
      <c r="R998" s="137"/>
      <c r="S998" s="137"/>
      <c r="T998" s="137"/>
      <c r="U998" s="137"/>
      <c r="V998" s="137"/>
      <c r="W998" s="137"/>
    </row>
    <row r="999" spans="1:23" x14ac:dyDescent="0.25">
      <c r="A999" s="137"/>
      <c r="B999" s="137"/>
      <c r="C999" s="137"/>
      <c r="D999" s="137"/>
      <c r="E999" s="137"/>
      <c r="F999" s="137"/>
      <c r="G999" s="137"/>
      <c r="H999" s="137"/>
      <c r="I999" s="137"/>
      <c r="J999" s="137"/>
      <c r="K999" s="137"/>
      <c r="L999" s="137"/>
      <c r="M999" s="137"/>
      <c r="N999" s="137"/>
      <c r="O999" s="137"/>
      <c r="P999" s="137"/>
      <c r="Q999" s="137"/>
      <c r="R999" s="137"/>
      <c r="S999" s="137"/>
      <c r="T999" s="137"/>
      <c r="U999" s="137"/>
      <c r="V999" s="137"/>
      <c r="W999" s="137"/>
    </row>
    <row r="1000" spans="1:23" x14ac:dyDescent="0.25">
      <c r="A1000" s="137"/>
      <c r="B1000" s="137"/>
      <c r="C1000" s="137"/>
      <c r="D1000" s="137"/>
      <c r="E1000" s="137"/>
      <c r="F1000" s="137"/>
      <c r="G1000" s="137"/>
      <c r="H1000" s="137"/>
      <c r="I1000" s="137"/>
      <c r="J1000" s="137"/>
      <c r="K1000" s="137"/>
      <c r="L1000" s="137"/>
      <c r="M1000" s="137"/>
      <c r="N1000" s="137"/>
      <c r="O1000" s="137"/>
      <c r="P1000" s="137"/>
      <c r="Q1000" s="137"/>
      <c r="R1000" s="137"/>
      <c r="S1000" s="137"/>
      <c r="T1000" s="137"/>
      <c r="U1000" s="137"/>
      <c r="V1000" s="137"/>
      <c r="W1000" s="137"/>
    </row>
    <row r="1001" spans="1:23" x14ac:dyDescent="0.25">
      <c r="A1001" s="137"/>
      <c r="B1001" s="137"/>
      <c r="C1001" s="137"/>
      <c r="D1001" s="137"/>
      <c r="E1001" s="137"/>
      <c r="F1001" s="137"/>
      <c r="G1001" s="137"/>
      <c r="H1001" s="137"/>
      <c r="I1001" s="137"/>
      <c r="J1001" s="137"/>
      <c r="K1001" s="137"/>
      <c r="L1001" s="137"/>
      <c r="M1001" s="137"/>
      <c r="N1001" s="137"/>
      <c r="O1001" s="137"/>
      <c r="P1001" s="137"/>
      <c r="Q1001" s="137"/>
      <c r="R1001" s="137"/>
      <c r="S1001" s="137"/>
      <c r="T1001" s="137"/>
      <c r="U1001" s="137"/>
      <c r="V1001" s="137"/>
      <c r="W1001" s="137"/>
    </row>
    <row r="1002" spans="1:23" x14ac:dyDescent="0.25">
      <c r="A1002" s="137"/>
      <c r="B1002" s="137"/>
      <c r="C1002" s="137"/>
      <c r="D1002" s="137"/>
      <c r="E1002" s="137"/>
      <c r="F1002" s="137"/>
      <c r="G1002" s="137"/>
      <c r="H1002" s="137"/>
      <c r="I1002" s="137"/>
      <c r="J1002" s="137"/>
      <c r="K1002" s="137"/>
      <c r="L1002" s="137"/>
      <c r="M1002" s="137"/>
      <c r="N1002" s="137"/>
      <c r="O1002" s="137"/>
      <c r="P1002" s="137"/>
      <c r="Q1002" s="137"/>
      <c r="R1002" s="137"/>
      <c r="S1002" s="137"/>
      <c r="T1002" s="137"/>
      <c r="U1002" s="137"/>
      <c r="V1002" s="137"/>
      <c r="W1002" s="137"/>
    </row>
    <row r="1003" spans="1:23" x14ac:dyDescent="0.25">
      <c r="A1003" s="137"/>
      <c r="B1003" s="137"/>
      <c r="C1003" s="137"/>
      <c r="D1003" s="137"/>
      <c r="E1003" s="137"/>
      <c r="F1003" s="137"/>
      <c r="G1003" s="137"/>
      <c r="H1003" s="137"/>
      <c r="I1003" s="137"/>
      <c r="J1003" s="137"/>
      <c r="K1003" s="137"/>
      <c r="L1003" s="137"/>
      <c r="M1003" s="137"/>
      <c r="N1003" s="137"/>
      <c r="O1003" s="137"/>
      <c r="P1003" s="137"/>
      <c r="Q1003" s="137"/>
      <c r="R1003" s="137"/>
      <c r="S1003" s="137"/>
      <c r="T1003" s="137"/>
      <c r="U1003" s="137"/>
      <c r="V1003" s="137"/>
      <c r="W1003" s="137"/>
    </row>
    <row r="1004" spans="1:23" x14ac:dyDescent="0.25">
      <c r="A1004" s="137"/>
      <c r="B1004" s="137"/>
      <c r="C1004" s="137"/>
      <c r="D1004" s="137"/>
      <c r="E1004" s="137"/>
      <c r="F1004" s="137"/>
      <c r="G1004" s="137"/>
      <c r="H1004" s="137"/>
      <c r="I1004" s="137"/>
      <c r="J1004" s="137"/>
      <c r="K1004" s="137"/>
      <c r="L1004" s="137"/>
      <c r="M1004" s="137"/>
      <c r="N1004" s="137"/>
      <c r="O1004" s="137"/>
      <c r="P1004" s="137"/>
      <c r="Q1004" s="137"/>
      <c r="R1004" s="137"/>
      <c r="S1004" s="137"/>
      <c r="T1004" s="137"/>
      <c r="U1004" s="137"/>
      <c r="V1004" s="137"/>
      <c r="W1004" s="137"/>
    </row>
    <row r="1005" spans="1:23" x14ac:dyDescent="0.25">
      <c r="A1005" s="137"/>
      <c r="B1005" s="137"/>
      <c r="C1005" s="137"/>
      <c r="D1005" s="137"/>
      <c r="E1005" s="137"/>
      <c r="F1005" s="137"/>
      <c r="G1005" s="137"/>
      <c r="H1005" s="137"/>
      <c r="I1005" s="137"/>
      <c r="J1005" s="137"/>
      <c r="K1005" s="137"/>
      <c r="L1005" s="137"/>
      <c r="M1005" s="137"/>
      <c r="N1005" s="137"/>
      <c r="O1005" s="137"/>
      <c r="P1005" s="137"/>
      <c r="Q1005" s="137"/>
      <c r="R1005" s="137"/>
      <c r="S1005" s="137"/>
      <c r="T1005" s="137"/>
      <c r="U1005" s="137"/>
      <c r="V1005" s="137"/>
      <c r="W1005" s="137"/>
    </row>
    <row r="1006" spans="1:23" x14ac:dyDescent="0.25">
      <c r="A1006" s="137"/>
      <c r="B1006" s="137"/>
      <c r="C1006" s="137"/>
      <c r="D1006" s="137"/>
      <c r="E1006" s="137"/>
      <c r="F1006" s="137"/>
      <c r="G1006" s="137"/>
      <c r="H1006" s="137"/>
      <c r="I1006" s="137"/>
      <c r="J1006" s="137"/>
      <c r="K1006" s="137"/>
      <c r="L1006" s="137"/>
      <c r="M1006" s="137"/>
      <c r="N1006" s="137"/>
      <c r="O1006" s="137"/>
      <c r="P1006" s="137"/>
      <c r="Q1006" s="137"/>
      <c r="R1006" s="137"/>
      <c r="S1006" s="137"/>
      <c r="T1006" s="137"/>
      <c r="U1006" s="137"/>
      <c r="V1006" s="137"/>
      <c r="W1006" s="137"/>
    </row>
    <row r="1007" spans="1:23" x14ac:dyDescent="0.25">
      <c r="A1007" s="137"/>
      <c r="B1007" s="137"/>
      <c r="C1007" s="137"/>
      <c r="D1007" s="137"/>
      <c r="E1007" s="137"/>
      <c r="F1007" s="137"/>
      <c r="G1007" s="137"/>
      <c r="H1007" s="137"/>
      <c r="I1007" s="137"/>
      <c r="J1007" s="137"/>
      <c r="K1007" s="137"/>
      <c r="L1007" s="137"/>
      <c r="M1007" s="137"/>
      <c r="N1007" s="137"/>
      <c r="O1007" s="137"/>
      <c r="P1007" s="137"/>
      <c r="Q1007" s="137"/>
      <c r="R1007" s="137"/>
      <c r="S1007" s="137"/>
      <c r="T1007" s="137"/>
      <c r="U1007" s="137"/>
      <c r="V1007" s="137"/>
      <c r="W1007" s="137"/>
    </row>
    <row r="1008" spans="1:23" x14ac:dyDescent="0.25">
      <c r="A1008" s="137"/>
      <c r="B1008" s="137"/>
      <c r="C1008" s="137"/>
      <c r="D1008" s="137"/>
      <c r="E1008" s="137"/>
      <c r="F1008" s="137"/>
      <c r="G1008" s="137"/>
      <c r="H1008" s="137"/>
      <c r="I1008" s="137"/>
      <c r="J1008" s="137"/>
      <c r="K1008" s="137"/>
      <c r="L1008" s="137"/>
      <c r="M1008" s="137"/>
      <c r="N1008" s="137"/>
      <c r="O1008" s="137"/>
      <c r="P1008" s="137"/>
      <c r="Q1008" s="137"/>
      <c r="R1008" s="137"/>
      <c r="S1008" s="137"/>
      <c r="T1008" s="137"/>
      <c r="U1008" s="137"/>
      <c r="V1008" s="137"/>
      <c r="W1008" s="137"/>
    </row>
    <row r="1009" spans="1:23" x14ac:dyDescent="0.25">
      <c r="A1009" s="137"/>
      <c r="B1009" s="137"/>
      <c r="C1009" s="137"/>
      <c r="D1009" s="137"/>
      <c r="E1009" s="137"/>
      <c r="F1009" s="137"/>
      <c r="G1009" s="137"/>
      <c r="H1009" s="137"/>
      <c r="I1009" s="137"/>
      <c r="J1009" s="137"/>
      <c r="K1009" s="137"/>
      <c r="L1009" s="137"/>
      <c r="M1009" s="137"/>
      <c r="N1009" s="137"/>
      <c r="O1009" s="137"/>
      <c r="P1009" s="137"/>
      <c r="Q1009" s="137"/>
      <c r="R1009" s="137"/>
      <c r="S1009" s="137"/>
      <c r="T1009" s="137"/>
      <c r="U1009" s="137"/>
      <c r="V1009" s="137"/>
      <c r="W1009" s="137"/>
    </row>
    <row r="1010" spans="1:23" x14ac:dyDescent="0.25">
      <c r="A1010" s="137"/>
      <c r="B1010" s="137"/>
      <c r="C1010" s="137"/>
      <c r="D1010" s="137"/>
      <c r="E1010" s="137"/>
      <c r="F1010" s="137"/>
      <c r="G1010" s="137"/>
      <c r="H1010" s="137"/>
      <c r="I1010" s="137"/>
      <c r="J1010" s="137"/>
      <c r="K1010" s="137"/>
      <c r="L1010" s="137"/>
      <c r="M1010" s="137"/>
      <c r="N1010" s="137"/>
      <c r="O1010" s="137"/>
      <c r="P1010" s="137"/>
      <c r="Q1010" s="137"/>
      <c r="R1010" s="137"/>
      <c r="S1010" s="137"/>
      <c r="T1010" s="137"/>
      <c r="U1010" s="137"/>
      <c r="V1010" s="137"/>
      <c r="W1010" s="137"/>
    </row>
    <row r="1011" spans="1:23" x14ac:dyDescent="0.25">
      <c r="A1011" s="137"/>
      <c r="B1011" s="137"/>
      <c r="C1011" s="137"/>
      <c r="D1011" s="137"/>
      <c r="E1011" s="137"/>
      <c r="F1011" s="137"/>
      <c r="G1011" s="137"/>
      <c r="H1011" s="137"/>
      <c r="I1011" s="137"/>
      <c r="J1011" s="137"/>
      <c r="K1011" s="137"/>
      <c r="L1011" s="137"/>
      <c r="M1011" s="137"/>
      <c r="N1011" s="137"/>
      <c r="O1011" s="137"/>
      <c r="P1011" s="137"/>
      <c r="Q1011" s="137"/>
      <c r="R1011" s="137"/>
      <c r="S1011" s="137"/>
      <c r="T1011" s="137"/>
      <c r="U1011" s="137"/>
      <c r="V1011" s="137"/>
      <c r="W1011" s="137"/>
    </row>
    <row r="1012" spans="1:23" x14ac:dyDescent="0.25">
      <c r="A1012" s="137"/>
      <c r="B1012" s="137"/>
      <c r="C1012" s="137"/>
      <c r="D1012" s="137"/>
      <c r="E1012" s="137"/>
      <c r="F1012" s="137"/>
      <c r="G1012" s="137"/>
      <c r="H1012" s="137"/>
      <c r="I1012" s="137"/>
      <c r="J1012" s="137"/>
      <c r="K1012" s="137"/>
      <c r="L1012" s="137"/>
      <c r="M1012" s="137"/>
      <c r="N1012" s="137"/>
      <c r="O1012" s="137"/>
      <c r="P1012" s="137"/>
      <c r="Q1012" s="137"/>
      <c r="R1012" s="137"/>
      <c r="S1012" s="137"/>
      <c r="T1012" s="137"/>
      <c r="U1012" s="137"/>
      <c r="V1012" s="137"/>
      <c r="W1012" s="137"/>
    </row>
    <row r="1013" spans="1:23" x14ac:dyDescent="0.25">
      <c r="A1013" s="137"/>
      <c r="B1013" s="137"/>
      <c r="C1013" s="137"/>
      <c r="D1013" s="137"/>
      <c r="E1013" s="137"/>
      <c r="F1013" s="137"/>
      <c r="G1013" s="137"/>
      <c r="H1013" s="137"/>
      <c r="I1013" s="137"/>
      <c r="J1013" s="137"/>
      <c r="K1013" s="137"/>
      <c r="L1013" s="137"/>
      <c r="M1013" s="137"/>
      <c r="N1013" s="137"/>
      <c r="O1013" s="137"/>
      <c r="P1013" s="137"/>
      <c r="Q1013" s="137"/>
      <c r="R1013" s="137"/>
      <c r="S1013" s="137"/>
      <c r="T1013" s="137"/>
      <c r="U1013" s="137"/>
      <c r="V1013" s="137"/>
      <c r="W1013" s="137"/>
    </row>
    <row r="1014" spans="1:23" x14ac:dyDescent="0.25">
      <c r="A1014" s="137"/>
      <c r="B1014" s="137"/>
      <c r="C1014" s="137"/>
      <c r="D1014" s="137"/>
      <c r="E1014" s="137"/>
      <c r="F1014" s="137"/>
      <c r="G1014" s="137"/>
      <c r="H1014" s="137"/>
      <c r="I1014" s="137"/>
      <c r="J1014" s="137"/>
      <c r="K1014" s="137"/>
      <c r="L1014" s="137"/>
      <c r="M1014" s="137"/>
      <c r="N1014" s="137"/>
      <c r="O1014" s="137"/>
      <c r="P1014" s="137"/>
      <c r="Q1014" s="137"/>
      <c r="R1014" s="137"/>
      <c r="S1014" s="137"/>
      <c r="T1014" s="137"/>
      <c r="U1014" s="137"/>
      <c r="V1014" s="137"/>
      <c r="W1014" s="137"/>
    </row>
    <row r="1015" spans="1:23" x14ac:dyDescent="0.25">
      <c r="A1015" s="137"/>
      <c r="B1015" s="137"/>
      <c r="C1015" s="137"/>
      <c r="D1015" s="137"/>
      <c r="E1015" s="137"/>
      <c r="F1015" s="137"/>
      <c r="G1015" s="137"/>
      <c r="H1015" s="137"/>
      <c r="I1015" s="137"/>
      <c r="J1015" s="137"/>
      <c r="K1015" s="137"/>
      <c r="L1015" s="137"/>
      <c r="M1015" s="137"/>
      <c r="N1015" s="137"/>
      <c r="O1015" s="137"/>
      <c r="P1015" s="137"/>
      <c r="Q1015" s="137"/>
      <c r="R1015" s="137"/>
      <c r="S1015" s="137"/>
      <c r="T1015" s="137"/>
      <c r="U1015" s="137"/>
      <c r="V1015" s="137"/>
      <c r="W1015" s="137"/>
    </row>
    <row r="1016" spans="1:23" x14ac:dyDescent="0.25">
      <c r="A1016" s="137"/>
      <c r="B1016" s="137"/>
      <c r="C1016" s="137"/>
      <c r="D1016" s="137"/>
      <c r="E1016" s="137"/>
      <c r="F1016" s="137"/>
      <c r="G1016" s="137"/>
      <c r="H1016" s="137"/>
      <c r="I1016" s="137"/>
      <c r="J1016" s="137"/>
      <c r="K1016" s="137"/>
      <c r="L1016" s="137"/>
      <c r="M1016" s="137"/>
      <c r="N1016" s="137"/>
      <c r="O1016" s="137"/>
      <c r="P1016" s="137"/>
      <c r="Q1016" s="137"/>
      <c r="R1016" s="137"/>
      <c r="S1016" s="137"/>
      <c r="T1016" s="137"/>
      <c r="U1016" s="137"/>
      <c r="V1016" s="137"/>
      <c r="W1016" s="137"/>
    </row>
    <row r="1017" spans="1:23" x14ac:dyDescent="0.25">
      <c r="A1017" s="137"/>
      <c r="B1017" s="137"/>
      <c r="C1017" s="137"/>
      <c r="D1017" s="137"/>
      <c r="E1017" s="137"/>
      <c r="F1017" s="137"/>
      <c r="G1017" s="137"/>
      <c r="H1017" s="137"/>
      <c r="I1017" s="137"/>
      <c r="J1017" s="137"/>
      <c r="K1017" s="137"/>
      <c r="L1017" s="137"/>
      <c r="M1017" s="137"/>
      <c r="N1017" s="137"/>
      <c r="O1017" s="137"/>
      <c r="P1017" s="137"/>
      <c r="Q1017" s="137"/>
      <c r="R1017" s="137"/>
      <c r="S1017" s="137"/>
      <c r="T1017" s="137"/>
      <c r="U1017" s="137"/>
      <c r="V1017" s="137"/>
      <c r="W1017" s="137"/>
    </row>
    <row r="1018" spans="1:23" x14ac:dyDescent="0.25">
      <c r="A1018" s="137"/>
      <c r="B1018" s="137"/>
      <c r="C1018" s="137"/>
      <c r="D1018" s="137"/>
      <c r="E1018" s="137"/>
      <c r="F1018" s="137"/>
      <c r="G1018" s="137"/>
      <c r="H1018" s="137"/>
      <c r="I1018" s="137"/>
      <c r="J1018" s="137"/>
      <c r="K1018" s="137"/>
      <c r="L1018" s="137"/>
      <c r="M1018" s="137"/>
      <c r="N1018" s="137"/>
      <c r="O1018" s="137"/>
      <c r="P1018" s="137"/>
      <c r="Q1018" s="137"/>
      <c r="R1018" s="137"/>
      <c r="S1018" s="137"/>
      <c r="T1018" s="137"/>
      <c r="U1018" s="137"/>
      <c r="V1018" s="137"/>
      <c r="W1018" s="137"/>
    </row>
    <row r="1019" spans="1:23" x14ac:dyDescent="0.25">
      <c r="A1019" s="137"/>
      <c r="B1019" s="137"/>
      <c r="C1019" s="137"/>
      <c r="D1019" s="137"/>
      <c r="E1019" s="137"/>
      <c r="F1019" s="137"/>
      <c r="G1019" s="137"/>
      <c r="H1019" s="137"/>
      <c r="I1019" s="137"/>
      <c r="J1019" s="137"/>
      <c r="K1019" s="137"/>
      <c r="L1019" s="137"/>
      <c r="M1019" s="137"/>
      <c r="N1019" s="137"/>
      <c r="O1019" s="137"/>
      <c r="P1019" s="137"/>
      <c r="Q1019" s="137"/>
      <c r="R1019" s="137"/>
      <c r="S1019" s="137"/>
      <c r="T1019" s="137"/>
      <c r="U1019" s="137"/>
      <c r="V1019" s="137"/>
      <c r="W1019" s="137"/>
    </row>
    <row r="1020" spans="1:23" x14ac:dyDescent="0.25">
      <c r="A1020" s="137"/>
      <c r="B1020" s="137"/>
      <c r="C1020" s="137"/>
      <c r="D1020" s="137"/>
      <c r="E1020" s="137"/>
      <c r="F1020" s="137"/>
      <c r="G1020" s="137"/>
      <c r="H1020" s="137"/>
      <c r="I1020" s="137"/>
      <c r="J1020" s="137"/>
      <c r="K1020" s="137"/>
      <c r="L1020" s="137"/>
      <c r="M1020" s="137"/>
      <c r="N1020" s="137"/>
      <c r="O1020" s="137"/>
      <c r="P1020" s="137"/>
      <c r="Q1020" s="137"/>
      <c r="R1020" s="137"/>
      <c r="S1020" s="137"/>
      <c r="T1020" s="137"/>
      <c r="U1020" s="137"/>
      <c r="V1020" s="137"/>
      <c r="W1020" s="137"/>
    </row>
    <row r="1021" spans="1:23" x14ac:dyDescent="0.25">
      <c r="A1021" s="137"/>
      <c r="B1021" s="137"/>
      <c r="C1021" s="137"/>
      <c r="D1021" s="137"/>
      <c r="E1021" s="137"/>
      <c r="F1021" s="137"/>
      <c r="G1021" s="137"/>
      <c r="H1021" s="137"/>
      <c r="I1021" s="137"/>
      <c r="J1021" s="137"/>
      <c r="K1021" s="137"/>
      <c r="L1021" s="137"/>
      <c r="M1021" s="137"/>
      <c r="N1021" s="137"/>
      <c r="O1021" s="137"/>
      <c r="P1021" s="137"/>
      <c r="Q1021" s="137"/>
      <c r="R1021" s="137"/>
      <c r="S1021" s="137"/>
      <c r="T1021" s="137"/>
      <c r="U1021" s="137"/>
      <c r="V1021" s="137"/>
      <c r="W1021" s="137"/>
    </row>
    <row r="1022" spans="1:23" x14ac:dyDescent="0.25">
      <c r="A1022" s="137"/>
      <c r="B1022" s="137"/>
      <c r="C1022" s="137"/>
      <c r="D1022" s="137"/>
      <c r="E1022" s="137"/>
      <c r="F1022" s="137"/>
      <c r="G1022" s="137"/>
      <c r="H1022" s="137"/>
      <c r="I1022" s="137"/>
      <c r="J1022" s="137"/>
      <c r="K1022" s="137"/>
      <c r="L1022" s="137"/>
      <c r="M1022" s="137"/>
      <c r="N1022" s="137"/>
      <c r="O1022" s="137"/>
      <c r="P1022" s="137"/>
      <c r="Q1022" s="137"/>
      <c r="R1022" s="137"/>
      <c r="S1022" s="137"/>
      <c r="T1022" s="137"/>
      <c r="U1022" s="137"/>
      <c r="V1022" s="137"/>
      <c r="W1022" s="137"/>
    </row>
    <row r="1023" spans="1:23" x14ac:dyDescent="0.25">
      <c r="A1023" s="137"/>
      <c r="B1023" s="137"/>
      <c r="C1023" s="137"/>
      <c r="D1023" s="137"/>
      <c r="E1023" s="137"/>
      <c r="F1023" s="137"/>
      <c r="G1023" s="137"/>
      <c r="H1023" s="137"/>
      <c r="I1023" s="137"/>
      <c r="J1023" s="137"/>
      <c r="K1023" s="137"/>
      <c r="L1023" s="137"/>
      <c r="M1023" s="137"/>
      <c r="N1023" s="137"/>
      <c r="O1023" s="137"/>
      <c r="P1023" s="137"/>
      <c r="Q1023" s="137"/>
      <c r="R1023" s="137"/>
      <c r="S1023" s="137"/>
      <c r="T1023" s="137"/>
      <c r="U1023" s="137"/>
      <c r="V1023" s="137"/>
      <c r="W1023" s="137"/>
    </row>
    <row r="1024" spans="1:23" x14ac:dyDescent="0.25">
      <c r="A1024" s="137"/>
      <c r="B1024" s="137"/>
      <c r="C1024" s="137"/>
      <c r="D1024" s="137"/>
      <c r="E1024" s="137"/>
      <c r="F1024" s="137"/>
      <c r="G1024" s="137"/>
      <c r="H1024" s="137"/>
      <c r="I1024" s="137"/>
      <c r="J1024" s="137"/>
      <c r="K1024" s="137"/>
      <c r="L1024" s="137"/>
      <c r="M1024" s="137"/>
      <c r="N1024" s="137"/>
      <c r="O1024" s="137"/>
      <c r="P1024" s="137"/>
      <c r="Q1024" s="137"/>
      <c r="R1024" s="137"/>
      <c r="S1024" s="137"/>
      <c r="T1024" s="137"/>
      <c r="U1024" s="137"/>
      <c r="V1024" s="137"/>
      <c r="W1024" s="137"/>
    </row>
    <row r="1025" spans="1:23" x14ac:dyDescent="0.25">
      <c r="A1025" s="137"/>
      <c r="B1025" s="137"/>
      <c r="C1025" s="137"/>
      <c r="D1025" s="137"/>
      <c r="E1025" s="137"/>
      <c r="F1025" s="137"/>
      <c r="G1025" s="137"/>
      <c r="H1025" s="137"/>
      <c r="I1025" s="137"/>
      <c r="J1025" s="137"/>
      <c r="K1025" s="137"/>
      <c r="L1025" s="137"/>
      <c r="M1025" s="137"/>
      <c r="N1025" s="137"/>
      <c r="O1025" s="137"/>
      <c r="P1025" s="137"/>
      <c r="Q1025" s="137"/>
      <c r="R1025" s="137"/>
      <c r="S1025" s="137"/>
      <c r="T1025" s="137"/>
      <c r="U1025" s="137"/>
      <c r="V1025" s="137"/>
      <c r="W1025" s="137"/>
    </row>
    <row r="1026" spans="1:23" x14ac:dyDescent="0.25">
      <c r="A1026" s="137"/>
      <c r="B1026" s="137"/>
      <c r="C1026" s="137"/>
      <c r="D1026" s="137"/>
      <c r="E1026" s="137"/>
      <c r="F1026" s="137"/>
      <c r="G1026" s="137"/>
      <c r="H1026" s="137"/>
      <c r="I1026" s="137"/>
      <c r="J1026" s="137"/>
      <c r="K1026" s="137"/>
      <c r="L1026" s="137"/>
      <c r="M1026" s="137"/>
      <c r="N1026" s="137"/>
      <c r="O1026" s="137"/>
      <c r="P1026" s="137"/>
      <c r="Q1026" s="137"/>
      <c r="R1026" s="137"/>
      <c r="S1026" s="137"/>
      <c r="T1026" s="137"/>
      <c r="U1026" s="137"/>
      <c r="V1026" s="137"/>
      <c r="W1026" s="137"/>
    </row>
    <row r="1027" spans="1:23" x14ac:dyDescent="0.25">
      <c r="A1027" s="137"/>
      <c r="B1027" s="137"/>
      <c r="C1027" s="137"/>
      <c r="D1027" s="137"/>
      <c r="E1027" s="137"/>
      <c r="F1027" s="137"/>
      <c r="G1027" s="137"/>
      <c r="H1027" s="137"/>
      <c r="I1027" s="137"/>
      <c r="J1027" s="137"/>
      <c r="K1027" s="137"/>
      <c r="L1027" s="137"/>
      <c r="M1027" s="137"/>
      <c r="N1027" s="137"/>
      <c r="O1027" s="137"/>
      <c r="P1027" s="137"/>
      <c r="Q1027" s="137"/>
      <c r="R1027" s="137"/>
      <c r="S1027" s="137"/>
      <c r="T1027" s="137"/>
      <c r="U1027" s="137"/>
      <c r="V1027" s="137"/>
      <c r="W1027" s="137"/>
    </row>
    <row r="1028" spans="1:23" x14ac:dyDescent="0.25">
      <c r="A1028" s="137"/>
      <c r="B1028" s="137"/>
      <c r="C1028" s="137"/>
      <c r="D1028" s="137"/>
      <c r="E1028" s="137"/>
      <c r="F1028" s="137"/>
      <c r="G1028" s="137"/>
      <c r="H1028" s="137"/>
      <c r="I1028" s="137"/>
      <c r="J1028" s="137"/>
      <c r="K1028" s="137"/>
      <c r="L1028" s="137"/>
      <c r="M1028" s="137"/>
      <c r="N1028" s="137"/>
      <c r="O1028" s="137"/>
      <c r="P1028" s="137"/>
      <c r="Q1028" s="137"/>
      <c r="R1028" s="137"/>
      <c r="S1028" s="137"/>
      <c r="T1028" s="137"/>
      <c r="U1028" s="137"/>
      <c r="V1028" s="137"/>
      <c r="W1028" s="137"/>
    </row>
    <row r="1029" spans="1:23" x14ac:dyDescent="0.25">
      <c r="A1029" s="137"/>
      <c r="B1029" s="137"/>
      <c r="C1029" s="137"/>
      <c r="D1029" s="137"/>
      <c r="E1029" s="137"/>
      <c r="F1029" s="137"/>
      <c r="G1029" s="137"/>
      <c r="H1029" s="137"/>
      <c r="I1029" s="137"/>
      <c r="J1029" s="137"/>
      <c r="K1029" s="137"/>
      <c r="L1029" s="137"/>
      <c r="M1029" s="137"/>
      <c r="N1029" s="137"/>
      <c r="O1029" s="137"/>
      <c r="P1029" s="137"/>
      <c r="Q1029" s="137"/>
      <c r="R1029" s="137"/>
      <c r="S1029" s="137"/>
      <c r="T1029" s="137"/>
      <c r="U1029" s="137"/>
      <c r="V1029" s="137"/>
      <c r="W1029" s="137"/>
    </row>
    <row r="1030" spans="1:23" x14ac:dyDescent="0.25">
      <c r="A1030" s="137"/>
      <c r="B1030" s="137"/>
      <c r="C1030" s="137"/>
      <c r="D1030" s="137"/>
      <c r="E1030" s="137"/>
      <c r="F1030" s="137"/>
      <c r="G1030" s="137"/>
      <c r="H1030" s="137"/>
      <c r="I1030" s="137"/>
      <c r="J1030" s="137"/>
      <c r="K1030" s="137"/>
      <c r="L1030" s="137"/>
      <c r="M1030" s="137"/>
      <c r="N1030" s="137"/>
      <c r="O1030" s="137"/>
      <c r="P1030" s="137"/>
      <c r="Q1030" s="137"/>
      <c r="R1030" s="137"/>
      <c r="S1030" s="137"/>
      <c r="T1030" s="137"/>
      <c r="U1030" s="137"/>
      <c r="V1030" s="137"/>
      <c r="W1030" s="137"/>
    </row>
    <row r="1031" spans="1:23" x14ac:dyDescent="0.25">
      <c r="A1031" s="137"/>
      <c r="B1031" s="137"/>
      <c r="C1031" s="137"/>
      <c r="D1031" s="137"/>
      <c r="E1031" s="137"/>
      <c r="F1031" s="137"/>
      <c r="G1031" s="137"/>
      <c r="H1031" s="137"/>
      <c r="I1031" s="137"/>
      <c r="J1031" s="137"/>
      <c r="K1031" s="137"/>
      <c r="L1031" s="137"/>
      <c r="M1031" s="137"/>
      <c r="N1031" s="137"/>
      <c r="O1031" s="137"/>
      <c r="P1031" s="137"/>
      <c r="Q1031" s="137"/>
      <c r="R1031" s="137"/>
      <c r="S1031" s="137"/>
      <c r="T1031" s="137"/>
      <c r="U1031" s="137"/>
      <c r="V1031" s="137"/>
      <c r="W1031" s="137"/>
    </row>
    <row r="1032" spans="1:23" x14ac:dyDescent="0.25">
      <c r="A1032" s="137"/>
      <c r="B1032" s="137"/>
      <c r="C1032" s="137"/>
      <c r="D1032" s="137"/>
      <c r="E1032" s="137"/>
      <c r="F1032" s="137"/>
      <c r="G1032" s="137"/>
      <c r="H1032" s="137"/>
      <c r="I1032" s="137"/>
      <c r="J1032" s="137"/>
      <c r="K1032" s="137"/>
      <c r="L1032" s="137"/>
      <c r="M1032" s="137"/>
      <c r="N1032" s="137"/>
      <c r="O1032" s="137"/>
      <c r="P1032" s="137"/>
      <c r="Q1032" s="137"/>
      <c r="R1032" s="137"/>
      <c r="S1032" s="137"/>
      <c r="T1032" s="137"/>
      <c r="U1032" s="137"/>
      <c r="V1032" s="137"/>
      <c r="W1032" s="137"/>
    </row>
    <row r="1033" spans="1:23" x14ac:dyDescent="0.25">
      <c r="A1033" s="137"/>
      <c r="B1033" s="137"/>
      <c r="C1033" s="137"/>
      <c r="D1033" s="137"/>
      <c r="E1033" s="137"/>
      <c r="F1033" s="137"/>
      <c r="G1033" s="137"/>
      <c r="H1033" s="137"/>
      <c r="I1033" s="137"/>
      <c r="J1033" s="137"/>
      <c r="K1033" s="137"/>
      <c r="L1033" s="137"/>
      <c r="M1033" s="137"/>
      <c r="N1033" s="137"/>
      <c r="O1033" s="137"/>
      <c r="P1033" s="137"/>
      <c r="Q1033" s="137"/>
      <c r="R1033" s="137"/>
      <c r="S1033" s="137"/>
      <c r="T1033" s="137"/>
      <c r="U1033" s="137"/>
      <c r="V1033" s="137"/>
      <c r="W1033" s="137"/>
    </row>
    <row r="1034" spans="1:23" x14ac:dyDescent="0.25">
      <c r="A1034" s="137"/>
      <c r="B1034" s="137"/>
      <c r="C1034" s="137"/>
      <c r="D1034" s="137"/>
      <c r="E1034" s="137"/>
      <c r="F1034" s="137"/>
      <c r="G1034" s="137"/>
      <c r="H1034" s="137"/>
      <c r="I1034" s="137"/>
      <c r="J1034" s="137"/>
      <c r="K1034" s="137"/>
      <c r="L1034" s="137"/>
      <c r="M1034" s="137"/>
      <c r="N1034" s="137"/>
      <c r="O1034" s="137"/>
      <c r="P1034" s="137"/>
      <c r="Q1034" s="137"/>
      <c r="R1034" s="137"/>
      <c r="S1034" s="137"/>
      <c r="T1034" s="137"/>
      <c r="U1034" s="137"/>
      <c r="V1034" s="137"/>
      <c r="W1034" s="137"/>
    </row>
    <row r="1035" spans="1:23" x14ac:dyDescent="0.25">
      <c r="A1035" s="137"/>
      <c r="B1035" s="137"/>
      <c r="C1035" s="137"/>
      <c r="D1035" s="137"/>
      <c r="E1035" s="137"/>
      <c r="F1035" s="137"/>
      <c r="G1035" s="137"/>
      <c r="H1035" s="137"/>
      <c r="I1035" s="137"/>
      <c r="J1035" s="137"/>
      <c r="K1035" s="137"/>
      <c r="L1035" s="137"/>
      <c r="M1035" s="137"/>
      <c r="N1035" s="137"/>
      <c r="O1035" s="137"/>
      <c r="P1035" s="137"/>
      <c r="Q1035" s="137"/>
      <c r="R1035" s="137"/>
      <c r="S1035" s="137"/>
      <c r="T1035" s="137"/>
      <c r="U1035" s="137"/>
      <c r="V1035" s="137"/>
      <c r="W1035" s="137"/>
    </row>
    <row r="1036" spans="1:23" x14ac:dyDescent="0.25">
      <c r="A1036" s="137"/>
      <c r="B1036" s="137"/>
      <c r="C1036" s="137"/>
      <c r="D1036" s="137"/>
      <c r="E1036" s="137"/>
      <c r="F1036" s="137"/>
      <c r="G1036" s="137"/>
      <c r="H1036" s="137"/>
      <c r="I1036" s="137"/>
      <c r="J1036" s="137"/>
      <c r="K1036" s="137"/>
      <c r="L1036" s="137"/>
      <c r="M1036" s="137"/>
      <c r="N1036" s="137"/>
      <c r="O1036" s="137"/>
      <c r="P1036" s="137"/>
      <c r="Q1036" s="137"/>
      <c r="R1036" s="137"/>
      <c r="S1036" s="137"/>
      <c r="T1036" s="137"/>
      <c r="U1036" s="137"/>
      <c r="V1036" s="137"/>
      <c r="W1036" s="137"/>
    </row>
    <row r="1037" spans="1:23" x14ac:dyDescent="0.25">
      <c r="A1037" s="137"/>
      <c r="B1037" s="137"/>
      <c r="C1037" s="137"/>
      <c r="D1037" s="137"/>
      <c r="E1037" s="137"/>
      <c r="F1037" s="137"/>
      <c r="G1037" s="137"/>
      <c r="H1037" s="137"/>
      <c r="I1037" s="137"/>
      <c r="J1037" s="137"/>
      <c r="K1037" s="137"/>
      <c r="L1037" s="137"/>
      <c r="M1037" s="137"/>
      <c r="N1037" s="137"/>
      <c r="O1037" s="137"/>
      <c r="P1037" s="137"/>
      <c r="Q1037" s="137"/>
      <c r="R1037" s="137"/>
      <c r="S1037" s="137"/>
      <c r="T1037" s="137"/>
      <c r="U1037" s="137"/>
      <c r="V1037" s="137"/>
      <c r="W1037" s="137"/>
    </row>
    <row r="1038" spans="1:23" x14ac:dyDescent="0.25">
      <c r="A1038" s="137"/>
      <c r="B1038" s="137"/>
      <c r="C1038" s="137"/>
      <c r="D1038" s="137"/>
      <c r="E1038" s="137"/>
      <c r="F1038" s="137"/>
      <c r="G1038" s="137"/>
      <c r="H1038" s="137"/>
      <c r="I1038" s="137"/>
      <c r="J1038" s="137"/>
      <c r="K1038" s="137"/>
      <c r="L1038" s="137"/>
      <c r="M1038" s="137"/>
      <c r="N1038" s="137"/>
      <c r="O1038" s="137"/>
      <c r="P1038" s="137"/>
      <c r="Q1038" s="137"/>
      <c r="R1038" s="137"/>
      <c r="S1038" s="137"/>
      <c r="T1038" s="137"/>
      <c r="U1038" s="137"/>
      <c r="V1038" s="137"/>
      <c r="W1038" s="137"/>
    </row>
    <row r="1039" spans="1:23" x14ac:dyDescent="0.25">
      <c r="A1039" s="137"/>
      <c r="B1039" s="137"/>
      <c r="C1039" s="137"/>
      <c r="D1039" s="137"/>
      <c r="E1039" s="137"/>
      <c r="F1039" s="137"/>
      <c r="G1039" s="137"/>
      <c r="H1039" s="137"/>
      <c r="I1039" s="137"/>
      <c r="J1039" s="137"/>
      <c r="K1039" s="137"/>
      <c r="L1039" s="137"/>
      <c r="M1039" s="137"/>
      <c r="N1039" s="137"/>
      <c r="O1039" s="137"/>
      <c r="P1039" s="137"/>
      <c r="Q1039" s="137"/>
      <c r="R1039" s="137"/>
      <c r="S1039" s="137"/>
      <c r="T1039" s="137"/>
      <c r="U1039" s="137"/>
      <c r="V1039" s="137"/>
      <c r="W1039" s="137"/>
    </row>
    <row r="1040" spans="1:23" x14ac:dyDescent="0.25">
      <c r="A1040" s="137"/>
      <c r="B1040" s="137"/>
      <c r="C1040" s="137"/>
      <c r="D1040" s="137"/>
      <c r="E1040" s="137"/>
      <c r="F1040" s="137"/>
      <c r="G1040" s="137"/>
      <c r="H1040" s="137"/>
      <c r="I1040" s="137"/>
      <c r="J1040" s="137"/>
      <c r="K1040" s="137"/>
      <c r="L1040" s="137"/>
      <c r="M1040" s="137"/>
      <c r="N1040" s="137"/>
      <c r="O1040" s="137"/>
      <c r="P1040" s="137"/>
      <c r="Q1040" s="137"/>
      <c r="R1040" s="137"/>
      <c r="S1040" s="137"/>
      <c r="T1040" s="137"/>
      <c r="U1040" s="137"/>
      <c r="V1040" s="137"/>
      <c r="W1040" s="137"/>
    </row>
    <row r="1041" spans="1:23" x14ac:dyDescent="0.25">
      <c r="A1041" s="137"/>
      <c r="B1041" s="137"/>
      <c r="C1041" s="137"/>
      <c r="D1041" s="137"/>
      <c r="E1041" s="137"/>
      <c r="F1041" s="137"/>
      <c r="G1041" s="137"/>
      <c r="H1041" s="137"/>
      <c r="I1041" s="137"/>
      <c r="J1041" s="137"/>
      <c r="K1041" s="137"/>
      <c r="L1041" s="137"/>
      <c r="M1041" s="137"/>
      <c r="N1041" s="137"/>
      <c r="O1041" s="137"/>
      <c r="P1041" s="137"/>
      <c r="Q1041" s="137"/>
      <c r="R1041" s="137"/>
      <c r="S1041" s="137"/>
      <c r="T1041" s="137"/>
      <c r="U1041" s="137"/>
      <c r="V1041" s="137"/>
      <c r="W1041" s="137"/>
    </row>
    <row r="1042" spans="1:23" x14ac:dyDescent="0.25">
      <c r="A1042" s="137"/>
      <c r="B1042" s="137"/>
      <c r="C1042" s="137"/>
      <c r="D1042" s="137"/>
      <c r="E1042" s="137"/>
      <c r="F1042" s="137"/>
      <c r="G1042" s="137"/>
      <c r="H1042" s="137"/>
      <c r="I1042" s="137"/>
      <c r="J1042" s="137"/>
      <c r="K1042" s="137"/>
      <c r="L1042" s="137"/>
      <c r="M1042" s="137"/>
      <c r="N1042" s="137"/>
      <c r="O1042" s="137"/>
      <c r="P1042" s="137"/>
      <c r="Q1042" s="137"/>
      <c r="R1042" s="137"/>
      <c r="S1042" s="137"/>
      <c r="T1042" s="137"/>
      <c r="U1042" s="137"/>
      <c r="V1042" s="137"/>
      <c r="W1042" s="137"/>
    </row>
    <row r="1043" spans="1:23" x14ac:dyDescent="0.25">
      <c r="A1043" s="137"/>
      <c r="B1043" s="137"/>
      <c r="C1043" s="137"/>
      <c r="D1043" s="137"/>
      <c r="E1043" s="137"/>
      <c r="F1043" s="137"/>
      <c r="G1043" s="137"/>
      <c r="H1043" s="137"/>
      <c r="I1043" s="137"/>
      <c r="J1043" s="137"/>
      <c r="K1043" s="137"/>
      <c r="L1043" s="137"/>
      <c r="M1043" s="137"/>
      <c r="N1043" s="137"/>
      <c r="O1043" s="137"/>
      <c r="P1043" s="137"/>
      <c r="Q1043" s="137"/>
      <c r="R1043" s="137"/>
      <c r="S1043" s="137"/>
      <c r="T1043" s="137"/>
      <c r="U1043" s="137"/>
      <c r="V1043" s="137"/>
      <c r="W1043" s="137"/>
    </row>
    <row r="1044" spans="1:23" x14ac:dyDescent="0.25">
      <c r="A1044" s="137"/>
      <c r="B1044" s="137"/>
      <c r="C1044" s="137"/>
      <c r="D1044" s="137"/>
      <c r="E1044" s="137"/>
      <c r="F1044" s="137"/>
      <c r="G1044" s="137"/>
      <c r="H1044" s="137"/>
      <c r="I1044" s="137"/>
      <c r="J1044" s="137"/>
      <c r="K1044" s="137"/>
      <c r="L1044" s="137"/>
      <c r="M1044" s="137"/>
      <c r="N1044" s="137"/>
      <c r="O1044" s="137"/>
      <c r="P1044" s="137"/>
      <c r="Q1044" s="137"/>
      <c r="R1044" s="137"/>
      <c r="S1044" s="137"/>
      <c r="T1044" s="137"/>
      <c r="U1044" s="137"/>
      <c r="V1044" s="137"/>
      <c r="W1044" s="137"/>
    </row>
    <row r="1045" spans="1:23" x14ac:dyDescent="0.25">
      <c r="A1045" s="137"/>
      <c r="B1045" s="137"/>
      <c r="C1045" s="137"/>
      <c r="D1045" s="137"/>
      <c r="E1045" s="137"/>
      <c r="F1045" s="137"/>
      <c r="G1045" s="137"/>
      <c r="H1045" s="137"/>
      <c r="I1045" s="137"/>
      <c r="J1045" s="137"/>
      <c r="K1045" s="137"/>
      <c r="L1045" s="137"/>
      <c r="M1045" s="137"/>
      <c r="N1045" s="137"/>
      <c r="O1045" s="137"/>
      <c r="P1045" s="137"/>
      <c r="Q1045" s="137"/>
      <c r="R1045" s="137"/>
      <c r="S1045" s="137"/>
      <c r="T1045" s="137"/>
      <c r="U1045" s="137"/>
      <c r="V1045" s="137"/>
      <c r="W1045" s="137"/>
    </row>
    <row r="1046" spans="1:23" x14ac:dyDescent="0.25">
      <c r="A1046" s="137"/>
      <c r="B1046" s="137"/>
      <c r="C1046" s="137"/>
      <c r="D1046" s="137"/>
      <c r="E1046" s="137"/>
      <c r="F1046" s="137"/>
      <c r="G1046" s="137"/>
      <c r="H1046" s="137"/>
      <c r="I1046" s="137"/>
      <c r="J1046" s="137"/>
      <c r="K1046" s="137"/>
      <c r="L1046" s="137"/>
      <c r="M1046" s="137"/>
      <c r="N1046" s="137"/>
      <c r="O1046" s="137"/>
      <c r="P1046" s="137"/>
      <c r="Q1046" s="137"/>
      <c r="R1046" s="137"/>
      <c r="S1046" s="137"/>
      <c r="T1046" s="137"/>
      <c r="U1046" s="137"/>
      <c r="V1046" s="137"/>
      <c r="W1046" s="137"/>
    </row>
    <row r="1047" spans="1:23" x14ac:dyDescent="0.25">
      <c r="A1047" s="137"/>
      <c r="B1047" s="137"/>
      <c r="C1047" s="137"/>
      <c r="D1047" s="137"/>
      <c r="E1047" s="137"/>
      <c r="F1047" s="137"/>
      <c r="G1047" s="137"/>
      <c r="H1047" s="137"/>
      <c r="I1047" s="137"/>
      <c r="J1047" s="137"/>
      <c r="K1047" s="137"/>
      <c r="L1047" s="137"/>
      <c r="M1047" s="137"/>
      <c r="N1047" s="137"/>
      <c r="O1047" s="137"/>
      <c r="P1047" s="137"/>
      <c r="Q1047" s="137"/>
      <c r="R1047" s="137"/>
      <c r="S1047" s="137"/>
      <c r="T1047" s="137"/>
      <c r="U1047" s="137"/>
      <c r="V1047" s="137"/>
      <c r="W1047" s="137"/>
    </row>
    <row r="1048" spans="1:23" x14ac:dyDescent="0.25">
      <c r="A1048" s="137"/>
      <c r="B1048" s="137"/>
      <c r="C1048" s="137"/>
      <c r="D1048" s="137"/>
      <c r="E1048" s="137"/>
      <c r="F1048" s="137"/>
      <c r="G1048" s="137"/>
      <c r="H1048" s="137"/>
      <c r="I1048" s="137"/>
      <c r="J1048" s="137"/>
      <c r="K1048" s="137"/>
      <c r="L1048" s="137"/>
      <c r="M1048" s="137"/>
      <c r="N1048" s="137"/>
      <c r="O1048" s="137"/>
      <c r="P1048" s="137"/>
      <c r="Q1048" s="137"/>
      <c r="R1048" s="137"/>
      <c r="S1048" s="137"/>
      <c r="T1048" s="137"/>
      <c r="U1048" s="137"/>
      <c r="V1048" s="137"/>
      <c r="W1048" s="137"/>
    </row>
    <row r="1049" spans="1:23" x14ac:dyDescent="0.25">
      <c r="A1049" s="137"/>
      <c r="B1049" s="137"/>
      <c r="C1049" s="137"/>
      <c r="D1049" s="137"/>
      <c r="E1049" s="137"/>
      <c r="F1049" s="137"/>
      <c r="G1049" s="137"/>
      <c r="H1049" s="137"/>
      <c r="I1049" s="137"/>
      <c r="J1049" s="137"/>
      <c r="K1049" s="137"/>
      <c r="L1049" s="137"/>
      <c r="M1049" s="137"/>
      <c r="N1049" s="137"/>
      <c r="O1049" s="137"/>
      <c r="P1049" s="137"/>
      <c r="Q1049" s="137"/>
      <c r="R1049" s="137"/>
      <c r="S1049" s="137"/>
      <c r="T1049" s="137"/>
      <c r="U1049" s="137"/>
      <c r="V1049" s="137"/>
      <c r="W1049" s="137"/>
    </row>
    <row r="1050" spans="1:23" x14ac:dyDescent="0.25">
      <c r="A1050" s="137"/>
      <c r="B1050" s="137"/>
      <c r="C1050" s="137"/>
      <c r="D1050" s="137"/>
      <c r="E1050" s="137"/>
      <c r="F1050" s="137"/>
      <c r="G1050" s="137"/>
      <c r="H1050" s="137"/>
      <c r="I1050" s="137"/>
      <c r="J1050" s="137"/>
      <c r="K1050" s="137"/>
      <c r="L1050" s="137"/>
      <c r="M1050" s="137"/>
      <c r="N1050" s="137"/>
      <c r="O1050" s="137"/>
      <c r="P1050" s="137"/>
      <c r="Q1050" s="137"/>
      <c r="R1050" s="137"/>
      <c r="S1050" s="137"/>
      <c r="T1050" s="137"/>
      <c r="U1050" s="137"/>
      <c r="V1050" s="137"/>
      <c r="W1050" s="137"/>
    </row>
    <row r="1051" spans="1:23" x14ac:dyDescent="0.25">
      <c r="A1051" s="137"/>
      <c r="B1051" s="137"/>
      <c r="C1051" s="137"/>
      <c r="D1051" s="137"/>
      <c r="E1051" s="137"/>
      <c r="F1051" s="137"/>
      <c r="G1051" s="137"/>
      <c r="H1051" s="137"/>
      <c r="I1051" s="137"/>
      <c r="J1051" s="137"/>
      <c r="K1051" s="137"/>
      <c r="L1051" s="137"/>
      <c r="M1051" s="137"/>
      <c r="N1051" s="137"/>
      <c r="O1051" s="137"/>
      <c r="P1051" s="137"/>
      <c r="Q1051" s="137"/>
      <c r="R1051" s="137"/>
      <c r="S1051" s="137"/>
      <c r="T1051" s="137"/>
      <c r="U1051" s="137"/>
      <c r="V1051" s="137"/>
      <c r="W1051" s="137"/>
    </row>
    <row r="1052" spans="1:23" x14ac:dyDescent="0.25">
      <c r="A1052" s="137"/>
      <c r="B1052" s="137"/>
      <c r="C1052" s="137"/>
      <c r="D1052" s="137"/>
      <c r="E1052" s="137"/>
      <c r="F1052" s="137"/>
      <c r="G1052" s="137"/>
      <c r="H1052" s="137"/>
      <c r="I1052" s="137"/>
      <c r="J1052" s="137"/>
      <c r="K1052" s="137"/>
      <c r="L1052" s="137"/>
      <c r="M1052" s="137"/>
      <c r="N1052" s="137"/>
      <c r="O1052" s="137"/>
      <c r="P1052" s="137"/>
      <c r="Q1052" s="137"/>
      <c r="R1052" s="137"/>
      <c r="S1052" s="137"/>
      <c r="T1052" s="137"/>
      <c r="U1052" s="137"/>
      <c r="V1052" s="137"/>
      <c r="W1052" s="137"/>
    </row>
    <row r="1053" spans="1:23" x14ac:dyDescent="0.25">
      <c r="A1053" s="137"/>
      <c r="B1053" s="137"/>
      <c r="C1053" s="137"/>
      <c r="D1053" s="137"/>
      <c r="E1053" s="137"/>
      <c r="F1053" s="137"/>
      <c r="G1053" s="137"/>
      <c r="H1053" s="137"/>
      <c r="I1053" s="137"/>
      <c r="J1053" s="137"/>
      <c r="K1053" s="137"/>
      <c r="L1053" s="137"/>
      <c r="M1053" s="137"/>
      <c r="N1053" s="137"/>
      <c r="O1053" s="137"/>
      <c r="P1053" s="137"/>
      <c r="Q1053" s="137"/>
      <c r="R1053" s="137"/>
      <c r="S1053" s="137"/>
      <c r="T1053" s="137"/>
      <c r="U1053" s="137"/>
      <c r="V1053" s="137"/>
      <c r="W1053" s="137"/>
    </row>
    <row r="1054" spans="1:23" x14ac:dyDescent="0.25">
      <c r="A1054" s="137"/>
      <c r="B1054" s="137"/>
      <c r="C1054" s="137"/>
      <c r="D1054" s="137"/>
      <c r="E1054" s="137"/>
      <c r="F1054" s="137"/>
      <c r="G1054" s="137"/>
      <c r="H1054" s="137"/>
      <c r="I1054" s="137"/>
      <c r="J1054" s="137"/>
      <c r="K1054" s="137"/>
      <c r="L1054" s="137"/>
      <c r="M1054" s="137"/>
      <c r="N1054" s="137"/>
      <c r="O1054" s="137"/>
      <c r="P1054" s="137"/>
      <c r="Q1054" s="137"/>
      <c r="R1054" s="137"/>
      <c r="S1054" s="137"/>
      <c r="T1054" s="137"/>
      <c r="U1054" s="137"/>
      <c r="V1054" s="137"/>
      <c r="W1054" s="137"/>
    </row>
    <row r="1055" spans="1:23" x14ac:dyDescent="0.25">
      <c r="A1055" s="137"/>
      <c r="B1055" s="137"/>
      <c r="C1055" s="137"/>
      <c r="D1055" s="137"/>
      <c r="E1055" s="137"/>
      <c r="F1055" s="137"/>
      <c r="G1055" s="137"/>
      <c r="H1055" s="137"/>
      <c r="I1055" s="137"/>
      <c r="J1055" s="137"/>
      <c r="K1055" s="137"/>
      <c r="L1055" s="137"/>
      <c r="M1055" s="137"/>
      <c r="N1055" s="137"/>
      <c r="O1055" s="137"/>
      <c r="P1055" s="137"/>
      <c r="Q1055" s="137"/>
      <c r="R1055" s="137"/>
      <c r="S1055" s="137"/>
      <c r="T1055" s="137"/>
      <c r="U1055" s="137"/>
      <c r="V1055" s="137"/>
      <c r="W1055" s="137"/>
    </row>
    <row r="1056" spans="1:23" x14ac:dyDescent="0.25">
      <c r="A1056" s="137"/>
      <c r="B1056" s="137"/>
      <c r="C1056" s="137"/>
      <c r="D1056" s="137"/>
      <c r="E1056" s="137"/>
      <c r="F1056" s="137"/>
      <c r="G1056" s="137"/>
      <c r="H1056" s="137"/>
      <c r="I1056" s="137"/>
      <c r="J1056" s="137"/>
      <c r="K1056" s="137"/>
      <c r="L1056" s="137"/>
      <c r="M1056" s="137"/>
      <c r="N1056" s="137"/>
      <c r="O1056" s="137"/>
      <c r="P1056" s="137"/>
      <c r="Q1056" s="137"/>
      <c r="R1056" s="137"/>
      <c r="S1056" s="137"/>
      <c r="T1056" s="137"/>
      <c r="U1056" s="137"/>
      <c r="V1056" s="137"/>
      <c r="W1056" s="137"/>
    </row>
    <row r="1057" spans="1:23" x14ac:dyDescent="0.25">
      <c r="A1057" s="137"/>
      <c r="B1057" s="137"/>
      <c r="C1057" s="137"/>
      <c r="D1057" s="137"/>
      <c r="E1057" s="137"/>
      <c r="F1057" s="137"/>
      <c r="G1057" s="137"/>
      <c r="H1057" s="137"/>
      <c r="I1057" s="137"/>
      <c r="J1057" s="137"/>
      <c r="K1057" s="137"/>
      <c r="L1057" s="137"/>
      <c r="M1057" s="137"/>
      <c r="N1057" s="137"/>
      <c r="O1057" s="137"/>
      <c r="P1057" s="137"/>
      <c r="Q1057" s="137"/>
      <c r="R1057" s="137"/>
      <c r="S1057" s="137"/>
      <c r="T1057" s="137"/>
      <c r="U1057" s="137"/>
      <c r="V1057" s="137"/>
      <c r="W1057" s="137"/>
    </row>
    <row r="1058" spans="1:23" x14ac:dyDescent="0.25">
      <c r="A1058" s="137"/>
      <c r="B1058" s="137"/>
      <c r="C1058" s="137"/>
      <c r="D1058" s="137"/>
      <c r="E1058" s="137"/>
      <c r="F1058" s="137"/>
      <c r="G1058" s="137"/>
      <c r="H1058" s="137"/>
      <c r="I1058" s="137"/>
      <c r="J1058" s="137"/>
      <c r="K1058" s="137"/>
      <c r="L1058" s="137"/>
      <c r="M1058" s="137"/>
      <c r="N1058" s="137"/>
      <c r="O1058" s="137"/>
      <c r="P1058" s="137"/>
      <c r="Q1058" s="137"/>
      <c r="R1058" s="137"/>
      <c r="S1058" s="137"/>
      <c r="T1058" s="137"/>
      <c r="U1058" s="137"/>
      <c r="V1058" s="137"/>
      <c r="W1058" s="137"/>
    </row>
    <row r="1059" spans="1:23" x14ac:dyDescent="0.25">
      <c r="A1059" s="137"/>
      <c r="B1059" s="137"/>
      <c r="C1059" s="137"/>
      <c r="D1059" s="137"/>
      <c r="E1059" s="137"/>
      <c r="F1059" s="137"/>
      <c r="G1059" s="137"/>
      <c r="H1059" s="137"/>
      <c r="I1059" s="137"/>
      <c r="J1059" s="137"/>
      <c r="K1059" s="137"/>
      <c r="L1059" s="137"/>
      <c r="M1059" s="137"/>
      <c r="N1059" s="137"/>
      <c r="O1059" s="137"/>
      <c r="P1059" s="137"/>
      <c r="Q1059" s="137"/>
      <c r="R1059" s="137"/>
      <c r="S1059" s="137"/>
      <c r="T1059" s="137"/>
      <c r="U1059" s="137"/>
      <c r="V1059" s="137"/>
      <c r="W1059" s="137"/>
    </row>
    <row r="1060" spans="1:23" x14ac:dyDescent="0.25">
      <c r="A1060" s="137"/>
      <c r="B1060" s="137"/>
      <c r="C1060" s="137"/>
      <c r="D1060" s="137"/>
      <c r="E1060" s="137"/>
      <c r="F1060" s="137"/>
      <c r="G1060" s="137"/>
      <c r="H1060" s="137"/>
      <c r="I1060" s="137"/>
      <c r="J1060" s="137"/>
      <c r="K1060" s="137"/>
      <c r="L1060" s="137"/>
      <c r="M1060" s="137"/>
      <c r="N1060" s="137"/>
      <c r="O1060" s="137"/>
      <c r="P1060" s="137"/>
      <c r="Q1060" s="137"/>
      <c r="R1060" s="137"/>
      <c r="S1060" s="137"/>
      <c r="T1060" s="137"/>
      <c r="U1060" s="137"/>
      <c r="V1060" s="137"/>
      <c r="W1060" s="137"/>
    </row>
    <row r="1061" spans="1:23" x14ac:dyDescent="0.25">
      <c r="A1061" s="137"/>
      <c r="B1061" s="137"/>
      <c r="C1061" s="137"/>
      <c r="D1061" s="137"/>
      <c r="E1061" s="137"/>
      <c r="F1061" s="137"/>
      <c r="G1061" s="137"/>
      <c r="H1061" s="137"/>
      <c r="I1061" s="137"/>
      <c r="J1061" s="137"/>
      <c r="K1061" s="137"/>
      <c r="L1061" s="137"/>
      <c r="M1061" s="137"/>
      <c r="N1061" s="137"/>
      <c r="O1061" s="137"/>
      <c r="P1061" s="137"/>
      <c r="Q1061" s="137"/>
      <c r="R1061" s="137"/>
      <c r="S1061" s="137"/>
      <c r="T1061" s="137"/>
      <c r="U1061" s="137"/>
      <c r="V1061" s="137"/>
      <c r="W1061" s="137"/>
    </row>
    <row r="1062" spans="1:23" x14ac:dyDescent="0.25">
      <c r="A1062" s="137"/>
      <c r="B1062" s="137"/>
      <c r="C1062" s="137"/>
      <c r="D1062" s="137"/>
      <c r="E1062" s="137"/>
      <c r="F1062" s="137"/>
      <c r="G1062" s="137"/>
      <c r="H1062" s="137"/>
      <c r="I1062" s="137"/>
      <c r="J1062" s="137"/>
      <c r="K1062" s="137"/>
      <c r="L1062" s="137"/>
      <c r="M1062" s="137"/>
      <c r="N1062" s="137"/>
      <c r="O1062" s="137"/>
      <c r="P1062" s="137"/>
      <c r="Q1062" s="137"/>
      <c r="R1062" s="137"/>
      <c r="S1062" s="137"/>
      <c r="T1062" s="137"/>
      <c r="U1062" s="137"/>
      <c r="V1062" s="137"/>
      <c r="W1062" s="137"/>
    </row>
    <row r="1063" spans="1:23" x14ac:dyDescent="0.25">
      <c r="A1063" s="137"/>
      <c r="B1063" s="137"/>
      <c r="C1063" s="137"/>
      <c r="D1063" s="137"/>
      <c r="E1063" s="137"/>
      <c r="F1063" s="137"/>
      <c r="G1063" s="137"/>
      <c r="H1063" s="137"/>
      <c r="I1063" s="137"/>
      <c r="J1063" s="137"/>
      <c r="K1063" s="137"/>
      <c r="L1063" s="137"/>
      <c r="M1063" s="137"/>
      <c r="N1063" s="137"/>
      <c r="O1063" s="137"/>
      <c r="P1063" s="137"/>
      <c r="Q1063" s="137"/>
      <c r="R1063" s="137"/>
      <c r="S1063" s="137"/>
      <c r="T1063" s="137"/>
      <c r="U1063" s="137"/>
      <c r="V1063" s="137"/>
      <c r="W1063" s="137"/>
    </row>
    <row r="1064" spans="1:23" x14ac:dyDescent="0.25">
      <c r="A1064" s="137"/>
      <c r="B1064" s="137"/>
      <c r="C1064" s="137"/>
      <c r="D1064" s="137"/>
      <c r="E1064" s="137"/>
      <c r="F1064" s="137"/>
      <c r="G1064" s="137"/>
      <c r="H1064" s="137"/>
      <c r="I1064" s="137"/>
      <c r="J1064" s="137"/>
      <c r="K1064" s="137"/>
      <c r="L1064" s="137"/>
      <c r="M1064" s="137"/>
      <c r="N1064" s="137"/>
      <c r="O1064" s="137"/>
      <c r="P1064" s="137"/>
      <c r="Q1064" s="137"/>
      <c r="R1064" s="137"/>
      <c r="S1064" s="137"/>
      <c r="T1064" s="137"/>
      <c r="U1064" s="137"/>
      <c r="V1064" s="137"/>
      <c r="W1064" s="137"/>
    </row>
    <row r="1065" spans="1:23" x14ac:dyDescent="0.25">
      <c r="A1065" s="137"/>
      <c r="B1065" s="137"/>
      <c r="C1065" s="137"/>
      <c r="D1065" s="137"/>
      <c r="E1065" s="137"/>
      <c r="F1065" s="137"/>
      <c r="G1065" s="137"/>
      <c r="H1065" s="137"/>
      <c r="I1065" s="137"/>
      <c r="J1065" s="137"/>
      <c r="K1065" s="137"/>
      <c r="L1065" s="137"/>
      <c r="M1065" s="137"/>
      <c r="N1065" s="137"/>
      <c r="O1065" s="137"/>
      <c r="P1065" s="137"/>
      <c r="Q1065" s="137"/>
      <c r="R1065" s="137"/>
      <c r="S1065" s="137"/>
      <c r="T1065" s="137"/>
      <c r="U1065" s="137"/>
      <c r="V1065" s="137"/>
      <c r="W1065" s="137"/>
    </row>
    <row r="1066" spans="1:23" x14ac:dyDescent="0.25">
      <c r="A1066" s="137"/>
      <c r="B1066" s="137"/>
      <c r="C1066" s="137"/>
      <c r="D1066" s="137"/>
      <c r="E1066" s="137"/>
      <c r="F1066" s="137"/>
      <c r="G1066" s="137"/>
      <c r="H1066" s="137"/>
      <c r="I1066" s="137"/>
      <c r="J1066" s="137"/>
      <c r="K1066" s="137"/>
      <c r="L1066" s="137"/>
      <c r="M1066" s="137"/>
      <c r="N1066" s="137"/>
      <c r="O1066" s="137"/>
      <c r="P1066" s="137"/>
      <c r="Q1066" s="137"/>
      <c r="R1066" s="137"/>
      <c r="S1066" s="137"/>
      <c r="T1066" s="137"/>
      <c r="U1066" s="137"/>
      <c r="V1066" s="137"/>
      <c r="W1066" s="137"/>
    </row>
    <row r="1067" spans="1:23" x14ac:dyDescent="0.25">
      <c r="A1067" s="137"/>
      <c r="B1067" s="137"/>
      <c r="C1067" s="137"/>
      <c r="D1067" s="137"/>
      <c r="E1067" s="137"/>
      <c r="F1067" s="137"/>
      <c r="G1067" s="137"/>
      <c r="H1067" s="137"/>
      <c r="I1067" s="137"/>
      <c r="J1067" s="137"/>
      <c r="K1067" s="137"/>
      <c r="L1067" s="137"/>
      <c r="M1067" s="137"/>
      <c r="N1067" s="137"/>
      <c r="O1067" s="137"/>
      <c r="P1067" s="137"/>
      <c r="Q1067" s="137"/>
      <c r="R1067" s="137"/>
      <c r="S1067" s="137"/>
      <c r="T1067" s="137"/>
      <c r="U1067" s="137"/>
      <c r="V1067" s="137"/>
      <c r="W1067" s="137"/>
    </row>
    <row r="1068" spans="1:23" x14ac:dyDescent="0.25">
      <c r="A1068" s="137"/>
      <c r="B1068" s="137"/>
      <c r="C1068" s="137"/>
      <c r="D1068" s="137"/>
      <c r="E1068" s="137"/>
      <c r="F1068" s="137"/>
      <c r="G1068" s="137"/>
      <c r="H1068" s="137"/>
      <c r="I1068" s="137"/>
      <c r="J1068" s="137"/>
      <c r="K1068" s="137"/>
      <c r="L1068" s="137"/>
      <c r="M1068" s="137"/>
      <c r="N1068" s="137"/>
      <c r="O1068" s="137"/>
      <c r="P1068" s="137"/>
      <c r="Q1068" s="137"/>
      <c r="R1068" s="137"/>
      <c r="S1068" s="137"/>
      <c r="T1068" s="137"/>
      <c r="U1068" s="137"/>
      <c r="V1068" s="137"/>
      <c r="W1068" s="137"/>
    </row>
    <row r="1069" spans="1:23" x14ac:dyDescent="0.25">
      <c r="A1069" s="137"/>
      <c r="B1069" s="137"/>
      <c r="C1069" s="137"/>
      <c r="D1069" s="137"/>
      <c r="E1069" s="137"/>
      <c r="F1069" s="137"/>
      <c r="G1069" s="137"/>
      <c r="H1069" s="137"/>
      <c r="I1069" s="137"/>
      <c r="J1069" s="137"/>
      <c r="K1069" s="137"/>
      <c r="L1069" s="137"/>
      <c r="M1069" s="137"/>
      <c r="N1069" s="137"/>
      <c r="O1069" s="137"/>
      <c r="P1069" s="137"/>
      <c r="Q1069" s="137"/>
      <c r="R1069" s="137"/>
      <c r="S1069" s="137"/>
      <c r="T1069" s="137"/>
      <c r="U1069" s="137"/>
      <c r="V1069" s="137"/>
      <c r="W1069" s="137"/>
    </row>
    <row r="1070" spans="1:23" x14ac:dyDescent="0.25">
      <c r="A1070" s="137"/>
      <c r="B1070" s="137"/>
      <c r="C1070" s="137"/>
      <c r="D1070" s="137"/>
      <c r="E1070" s="137"/>
      <c r="F1070" s="137"/>
      <c r="G1070" s="137"/>
      <c r="H1070" s="137"/>
      <c r="I1070" s="137"/>
      <c r="J1070" s="137"/>
      <c r="K1070" s="137"/>
      <c r="L1070" s="137"/>
      <c r="M1070" s="137"/>
      <c r="N1070" s="137"/>
      <c r="O1070" s="137"/>
      <c r="P1070" s="137"/>
      <c r="Q1070" s="137"/>
      <c r="R1070" s="137"/>
      <c r="S1070" s="137"/>
      <c r="T1070" s="137"/>
      <c r="U1070" s="137"/>
      <c r="V1070" s="137"/>
      <c r="W1070" s="137"/>
    </row>
    <row r="1071" spans="1:23" x14ac:dyDescent="0.25">
      <c r="A1071" s="137"/>
      <c r="B1071" s="137"/>
      <c r="C1071" s="137"/>
      <c r="D1071" s="137"/>
      <c r="E1071" s="137"/>
      <c r="F1071" s="137"/>
      <c r="G1071" s="137"/>
      <c r="H1071" s="137"/>
      <c r="I1071" s="137"/>
      <c r="J1071" s="137"/>
      <c r="K1071" s="137"/>
      <c r="L1071" s="137"/>
      <c r="M1071" s="137"/>
      <c r="N1071" s="137"/>
      <c r="O1071" s="137"/>
      <c r="P1071" s="137"/>
      <c r="Q1071" s="137"/>
      <c r="R1071" s="137"/>
      <c r="S1071" s="137"/>
      <c r="T1071" s="137"/>
      <c r="U1071" s="137"/>
      <c r="V1071" s="137"/>
      <c r="W1071" s="137"/>
    </row>
    <row r="1072" spans="1:23" x14ac:dyDescent="0.25">
      <c r="A1072" s="137"/>
      <c r="B1072" s="137"/>
      <c r="C1072" s="137"/>
      <c r="D1072" s="137"/>
      <c r="E1072" s="137"/>
      <c r="F1072" s="137"/>
      <c r="G1072" s="137"/>
      <c r="H1072" s="137"/>
      <c r="I1072" s="137"/>
      <c r="J1072" s="137"/>
      <c r="K1072" s="137"/>
      <c r="L1072" s="137"/>
      <c r="M1072" s="137"/>
      <c r="N1072" s="137"/>
      <c r="O1072" s="137"/>
      <c r="P1072" s="137"/>
      <c r="Q1072" s="137"/>
      <c r="R1072" s="137"/>
      <c r="S1072" s="137"/>
      <c r="T1072" s="137"/>
      <c r="U1072" s="137"/>
      <c r="V1072" s="137"/>
      <c r="W1072" s="137"/>
    </row>
    <row r="1073" spans="1:23" x14ac:dyDescent="0.25">
      <c r="A1073" s="137"/>
      <c r="B1073" s="137"/>
      <c r="C1073" s="137"/>
      <c r="D1073" s="137"/>
      <c r="E1073" s="137"/>
      <c r="F1073" s="137"/>
      <c r="G1073" s="137"/>
      <c r="H1073" s="137"/>
      <c r="I1073" s="137"/>
      <c r="J1073" s="137"/>
      <c r="K1073" s="137"/>
      <c r="L1073" s="137"/>
      <c r="M1073" s="137"/>
      <c r="N1073" s="137"/>
      <c r="O1073" s="137"/>
      <c r="P1073" s="137"/>
      <c r="Q1073" s="137"/>
      <c r="R1073" s="137"/>
      <c r="S1073" s="137"/>
      <c r="T1073" s="137"/>
      <c r="U1073" s="137"/>
      <c r="V1073" s="137"/>
      <c r="W1073" s="137"/>
    </row>
    <row r="1074" spans="1:23" x14ac:dyDescent="0.25">
      <c r="A1074" s="137"/>
      <c r="B1074" s="137"/>
      <c r="C1074" s="137"/>
      <c r="D1074" s="137"/>
      <c r="E1074" s="137"/>
      <c r="F1074" s="137"/>
      <c r="G1074" s="137"/>
      <c r="H1074" s="137"/>
      <c r="I1074" s="137"/>
      <c r="J1074" s="137"/>
      <c r="K1074" s="137"/>
      <c r="L1074" s="137"/>
      <c r="M1074" s="137"/>
      <c r="N1074" s="137"/>
      <c r="O1074" s="137"/>
      <c r="P1074" s="137"/>
      <c r="Q1074" s="137"/>
      <c r="R1074" s="137"/>
      <c r="S1074" s="137"/>
      <c r="T1074" s="137"/>
      <c r="U1074" s="137"/>
      <c r="V1074" s="137"/>
      <c r="W1074" s="137"/>
    </row>
    <row r="1075" spans="1:23" x14ac:dyDescent="0.25">
      <c r="A1075" s="137"/>
      <c r="B1075" s="137"/>
      <c r="C1075" s="137"/>
      <c r="D1075" s="137"/>
      <c r="E1075" s="137"/>
      <c r="F1075" s="137"/>
      <c r="G1075" s="137"/>
      <c r="H1075" s="137"/>
      <c r="I1075" s="137"/>
      <c r="J1075" s="137"/>
      <c r="K1075" s="137"/>
      <c r="L1075" s="137"/>
      <c r="M1075" s="137"/>
      <c r="N1075" s="137"/>
      <c r="O1075" s="137"/>
      <c r="P1075" s="137"/>
      <c r="Q1075" s="137"/>
      <c r="R1075" s="137"/>
      <c r="S1075" s="137"/>
      <c r="T1075" s="137"/>
      <c r="U1075" s="137"/>
      <c r="V1075" s="137"/>
      <c r="W1075" s="137"/>
    </row>
    <row r="1076" spans="1:23" x14ac:dyDescent="0.25">
      <c r="A1076" s="137"/>
      <c r="B1076" s="137"/>
      <c r="C1076" s="137"/>
      <c r="D1076" s="137"/>
      <c r="E1076" s="137"/>
      <c r="F1076" s="137"/>
      <c r="G1076" s="137"/>
      <c r="H1076" s="137"/>
      <c r="I1076" s="137"/>
      <c r="J1076" s="137"/>
      <c r="K1076" s="137"/>
      <c r="L1076" s="137"/>
      <c r="M1076" s="137"/>
      <c r="N1076" s="137"/>
      <c r="O1076" s="137"/>
      <c r="P1076" s="137"/>
      <c r="Q1076" s="137"/>
      <c r="R1076" s="137"/>
      <c r="S1076" s="137"/>
      <c r="T1076" s="137"/>
      <c r="U1076" s="137"/>
      <c r="V1076" s="137"/>
      <c r="W1076" s="137"/>
    </row>
    <row r="1077" spans="1:23" x14ac:dyDescent="0.25">
      <c r="A1077" s="137"/>
      <c r="B1077" s="137"/>
      <c r="C1077" s="137"/>
      <c r="D1077" s="137"/>
      <c r="E1077" s="137"/>
      <c r="F1077" s="137"/>
      <c r="G1077" s="137"/>
      <c r="H1077" s="137"/>
      <c r="I1077" s="137"/>
      <c r="J1077" s="137"/>
      <c r="K1077" s="137"/>
      <c r="L1077" s="137"/>
      <c r="M1077" s="137"/>
      <c r="N1077" s="137"/>
      <c r="O1077" s="137"/>
      <c r="P1077" s="137"/>
      <c r="Q1077" s="137"/>
      <c r="R1077" s="137"/>
      <c r="S1077" s="137"/>
      <c r="T1077" s="137"/>
      <c r="U1077" s="137"/>
      <c r="V1077" s="137"/>
      <c r="W1077" s="137"/>
    </row>
    <row r="1078" spans="1:23" x14ac:dyDescent="0.25">
      <c r="A1078" s="137"/>
      <c r="B1078" s="137"/>
      <c r="C1078" s="137"/>
      <c r="D1078" s="137"/>
      <c r="E1078" s="137"/>
      <c r="F1078" s="137"/>
      <c r="G1078" s="137"/>
      <c r="H1078" s="137"/>
      <c r="I1078" s="137"/>
      <c r="J1078" s="137"/>
      <c r="K1078" s="137"/>
      <c r="L1078" s="137"/>
      <c r="M1078" s="137"/>
      <c r="N1078" s="137"/>
      <c r="O1078" s="137"/>
      <c r="P1078" s="137"/>
      <c r="Q1078" s="137"/>
      <c r="R1078" s="137"/>
      <c r="S1078" s="137"/>
      <c r="T1078" s="137"/>
      <c r="U1078" s="137"/>
      <c r="V1078" s="137"/>
      <c r="W1078" s="137"/>
    </row>
    <row r="1079" spans="1:23" x14ac:dyDescent="0.25">
      <c r="A1079" s="137"/>
      <c r="B1079" s="137"/>
      <c r="C1079" s="137"/>
      <c r="D1079" s="137"/>
      <c r="E1079" s="137"/>
      <c r="F1079" s="137"/>
      <c r="G1079" s="137"/>
      <c r="H1079" s="137"/>
      <c r="I1079" s="137"/>
      <c r="J1079" s="137"/>
      <c r="K1079" s="137"/>
      <c r="L1079" s="137"/>
      <c r="M1079" s="137"/>
      <c r="N1079" s="137"/>
      <c r="O1079" s="137"/>
      <c r="P1079" s="137"/>
      <c r="Q1079" s="137"/>
      <c r="R1079" s="137"/>
      <c r="S1079" s="137"/>
      <c r="T1079" s="137"/>
      <c r="U1079" s="137"/>
      <c r="V1079" s="137"/>
      <c r="W1079" s="137"/>
    </row>
    <row r="1080" spans="1:23" x14ac:dyDescent="0.25">
      <c r="A1080" s="137"/>
      <c r="B1080" s="137"/>
      <c r="C1080" s="137"/>
      <c r="D1080" s="137"/>
      <c r="E1080" s="137"/>
      <c r="F1080" s="137"/>
      <c r="G1080" s="137"/>
      <c r="H1080" s="137"/>
      <c r="I1080" s="137"/>
      <c r="J1080" s="137"/>
      <c r="K1080" s="137"/>
      <c r="L1080" s="137"/>
      <c r="M1080" s="137"/>
      <c r="N1080" s="137"/>
      <c r="O1080" s="137"/>
      <c r="P1080" s="137"/>
      <c r="Q1080" s="137"/>
      <c r="R1080" s="137"/>
      <c r="S1080" s="137"/>
      <c r="T1080" s="137"/>
      <c r="U1080" s="137"/>
      <c r="V1080" s="137"/>
      <c r="W1080" s="137"/>
    </row>
    <row r="1081" spans="1:23" x14ac:dyDescent="0.25">
      <c r="A1081" s="137"/>
      <c r="B1081" s="137"/>
      <c r="C1081" s="137"/>
      <c r="D1081" s="137"/>
      <c r="E1081" s="137"/>
      <c r="F1081" s="137"/>
      <c r="G1081" s="137"/>
      <c r="H1081" s="137"/>
      <c r="I1081" s="137"/>
      <c r="J1081" s="137"/>
      <c r="K1081" s="137"/>
      <c r="L1081" s="137"/>
      <c r="M1081" s="137"/>
      <c r="N1081" s="137"/>
      <c r="O1081" s="137"/>
      <c r="P1081" s="137"/>
      <c r="Q1081" s="137"/>
      <c r="R1081" s="137"/>
      <c r="S1081" s="137"/>
      <c r="T1081" s="137"/>
      <c r="U1081" s="137"/>
      <c r="V1081" s="137"/>
      <c r="W1081" s="137"/>
    </row>
    <row r="1082" spans="1:23" x14ac:dyDescent="0.25">
      <c r="A1082" s="137"/>
      <c r="B1082" s="137"/>
      <c r="C1082" s="137"/>
      <c r="D1082" s="137"/>
      <c r="E1082" s="137"/>
      <c r="F1082" s="137"/>
      <c r="G1082" s="137"/>
      <c r="H1082" s="137"/>
      <c r="I1082" s="137"/>
      <c r="J1082" s="137"/>
      <c r="K1082" s="137"/>
      <c r="L1082" s="137"/>
      <c r="M1082" s="137"/>
      <c r="N1082" s="137"/>
      <c r="O1082" s="137"/>
      <c r="P1082" s="137"/>
      <c r="Q1082" s="137"/>
      <c r="R1082" s="137"/>
      <c r="S1082" s="137"/>
      <c r="T1082" s="137"/>
      <c r="U1082" s="137"/>
      <c r="V1082" s="137"/>
      <c r="W1082" s="137"/>
    </row>
    <row r="1083" spans="1:23" x14ac:dyDescent="0.25">
      <c r="A1083" s="137"/>
      <c r="B1083" s="137"/>
      <c r="C1083" s="137"/>
      <c r="D1083" s="137"/>
      <c r="E1083" s="137"/>
      <c r="F1083" s="137"/>
      <c r="G1083" s="137"/>
      <c r="H1083" s="137"/>
      <c r="I1083" s="137"/>
      <c r="J1083" s="137"/>
      <c r="K1083" s="137"/>
      <c r="L1083" s="137"/>
      <c r="M1083" s="137"/>
      <c r="N1083" s="137"/>
      <c r="O1083" s="137"/>
      <c r="P1083" s="137"/>
      <c r="Q1083" s="137"/>
      <c r="R1083" s="137"/>
      <c r="S1083" s="137"/>
      <c r="T1083" s="137"/>
      <c r="U1083" s="137"/>
      <c r="V1083" s="137"/>
      <c r="W1083" s="137"/>
    </row>
    <row r="1084" spans="1:23" x14ac:dyDescent="0.25">
      <c r="A1084" s="137"/>
      <c r="B1084" s="137"/>
      <c r="C1084" s="137"/>
      <c r="D1084" s="137"/>
      <c r="E1084" s="137"/>
      <c r="F1084" s="137"/>
      <c r="G1084" s="137"/>
      <c r="H1084" s="137"/>
      <c r="I1084" s="137"/>
      <c r="J1084" s="137"/>
      <c r="K1084" s="137"/>
      <c r="L1084" s="137"/>
      <c r="M1084" s="137"/>
      <c r="N1084" s="137"/>
      <c r="O1084" s="137"/>
      <c r="P1084" s="137"/>
      <c r="Q1084" s="137"/>
      <c r="R1084" s="137"/>
      <c r="S1084" s="137"/>
      <c r="T1084" s="137"/>
      <c r="U1084" s="137"/>
      <c r="V1084" s="137"/>
      <c r="W1084" s="137"/>
    </row>
    <row r="1085" spans="1:23" x14ac:dyDescent="0.25">
      <c r="A1085" s="137"/>
      <c r="B1085" s="137"/>
      <c r="C1085" s="137"/>
      <c r="D1085" s="137"/>
      <c r="E1085" s="137"/>
      <c r="F1085" s="137"/>
      <c r="G1085" s="137"/>
      <c r="H1085" s="137"/>
      <c r="I1085" s="137"/>
      <c r="J1085" s="137"/>
      <c r="K1085" s="137"/>
      <c r="L1085" s="137"/>
      <c r="M1085" s="137"/>
      <c r="N1085" s="137"/>
      <c r="O1085" s="137"/>
      <c r="P1085" s="137"/>
      <c r="Q1085" s="137"/>
      <c r="R1085" s="137"/>
      <c r="S1085" s="137"/>
      <c r="T1085" s="137"/>
      <c r="U1085" s="137"/>
      <c r="V1085" s="137"/>
      <c r="W1085" s="137"/>
    </row>
    <row r="1086" spans="1:23" x14ac:dyDescent="0.25">
      <c r="A1086" s="137"/>
      <c r="B1086" s="137"/>
      <c r="C1086" s="137"/>
      <c r="D1086" s="137"/>
      <c r="E1086" s="137"/>
      <c r="F1086" s="137"/>
      <c r="G1086" s="137"/>
      <c r="H1086" s="137"/>
      <c r="I1086" s="137"/>
      <c r="J1086" s="137"/>
      <c r="K1086" s="137"/>
      <c r="L1086" s="137"/>
      <c r="M1086" s="137"/>
      <c r="N1086" s="137"/>
      <c r="O1086" s="137"/>
      <c r="P1086" s="137"/>
      <c r="Q1086" s="137"/>
      <c r="R1086" s="137"/>
      <c r="S1086" s="137"/>
      <c r="T1086" s="137"/>
      <c r="U1086" s="137"/>
      <c r="V1086" s="137"/>
      <c r="W1086" s="137"/>
    </row>
    <row r="1087" spans="1:23" x14ac:dyDescent="0.25">
      <c r="A1087" s="137"/>
      <c r="B1087" s="137"/>
      <c r="C1087" s="137"/>
      <c r="D1087" s="137"/>
      <c r="E1087" s="137"/>
      <c r="F1087" s="137"/>
      <c r="G1087" s="137"/>
      <c r="H1087" s="137"/>
      <c r="I1087" s="137"/>
      <c r="J1087" s="137"/>
      <c r="K1087" s="137"/>
      <c r="L1087" s="137"/>
      <c r="M1087" s="137"/>
      <c r="N1087" s="137"/>
      <c r="O1087" s="137"/>
      <c r="P1087" s="137"/>
      <c r="Q1087" s="137"/>
      <c r="R1087" s="137"/>
      <c r="S1087" s="137"/>
      <c r="T1087" s="137"/>
      <c r="U1087" s="137"/>
      <c r="V1087" s="137"/>
      <c r="W1087" s="137"/>
    </row>
    <row r="1088" spans="1:23" x14ac:dyDescent="0.25">
      <c r="A1088" s="137"/>
      <c r="B1088" s="137"/>
      <c r="C1088" s="137"/>
      <c r="D1088" s="137"/>
      <c r="E1088" s="137"/>
      <c r="F1088" s="137"/>
      <c r="G1088" s="137"/>
      <c r="H1088" s="137"/>
      <c r="I1088" s="137"/>
      <c r="J1088" s="137"/>
      <c r="K1088" s="137"/>
      <c r="L1088" s="137"/>
      <c r="M1088" s="137"/>
      <c r="N1088" s="137"/>
      <c r="O1088" s="137"/>
      <c r="P1088" s="137"/>
      <c r="Q1088" s="137"/>
      <c r="R1088" s="137"/>
      <c r="S1088" s="137"/>
      <c r="T1088" s="137"/>
      <c r="U1088" s="137"/>
      <c r="V1088" s="137"/>
      <c r="W1088" s="137"/>
    </row>
    <row r="1089" spans="1:23" x14ac:dyDescent="0.25">
      <c r="A1089" s="137"/>
      <c r="B1089" s="137"/>
      <c r="C1089" s="137"/>
      <c r="D1089" s="137"/>
      <c r="E1089" s="137"/>
      <c r="F1089" s="137"/>
      <c r="G1089" s="137"/>
      <c r="H1089" s="137"/>
      <c r="I1089" s="137"/>
      <c r="J1089" s="137"/>
      <c r="K1089" s="137"/>
      <c r="L1089" s="137"/>
      <c r="M1089" s="137"/>
      <c r="N1089" s="137"/>
      <c r="O1089" s="137"/>
      <c r="P1089" s="137"/>
      <c r="Q1089" s="137"/>
      <c r="R1089" s="137"/>
      <c r="S1089" s="137"/>
      <c r="T1089" s="137"/>
      <c r="U1089" s="137"/>
      <c r="V1089" s="137"/>
      <c r="W1089" s="137"/>
    </row>
    <row r="1090" spans="1:23" x14ac:dyDescent="0.25">
      <c r="A1090" s="137"/>
      <c r="B1090" s="137"/>
      <c r="C1090" s="137"/>
      <c r="D1090" s="137"/>
      <c r="E1090" s="137"/>
      <c r="F1090" s="137"/>
      <c r="G1090" s="137"/>
      <c r="H1090" s="137"/>
      <c r="I1090" s="137"/>
      <c r="J1090" s="137"/>
      <c r="K1090" s="137"/>
      <c r="L1090" s="137"/>
      <c r="M1090" s="137"/>
      <c r="N1090" s="137"/>
      <c r="O1090" s="137"/>
      <c r="P1090" s="137"/>
      <c r="Q1090" s="137"/>
      <c r="R1090" s="137"/>
      <c r="S1090" s="137"/>
      <c r="T1090" s="137"/>
      <c r="U1090" s="137"/>
      <c r="V1090" s="137"/>
      <c r="W1090" s="137"/>
    </row>
    <row r="1091" spans="1:23" x14ac:dyDescent="0.25">
      <c r="A1091" s="137"/>
      <c r="B1091" s="137"/>
      <c r="C1091" s="137"/>
      <c r="D1091" s="137"/>
      <c r="E1091" s="137"/>
      <c r="F1091" s="137"/>
      <c r="G1091" s="137"/>
      <c r="H1091" s="137"/>
      <c r="I1091" s="137"/>
      <c r="J1091" s="137"/>
      <c r="K1091" s="137"/>
      <c r="L1091" s="137"/>
      <c r="M1091" s="137"/>
      <c r="N1091" s="137"/>
      <c r="O1091" s="137"/>
      <c r="P1091" s="137"/>
      <c r="Q1091" s="137"/>
      <c r="R1091" s="137"/>
      <c r="S1091" s="137"/>
      <c r="T1091" s="137"/>
      <c r="U1091" s="137"/>
      <c r="V1091" s="137"/>
      <c r="W1091" s="137"/>
    </row>
    <row r="1092" spans="1:23" x14ac:dyDescent="0.25">
      <c r="A1092" s="137"/>
      <c r="B1092" s="137"/>
      <c r="C1092" s="137"/>
      <c r="D1092" s="137"/>
      <c r="E1092" s="137"/>
      <c r="F1092" s="137"/>
      <c r="G1092" s="137"/>
      <c r="H1092" s="137"/>
      <c r="I1092" s="137"/>
      <c r="J1092" s="137"/>
      <c r="K1092" s="137"/>
      <c r="L1092" s="137"/>
      <c r="M1092" s="137"/>
      <c r="N1092" s="137"/>
      <c r="O1092" s="137"/>
      <c r="P1092" s="137"/>
      <c r="Q1092" s="137"/>
      <c r="R1092" s="137"/>
      <c r="S1092" s="137"/>
      <c r="T1092" s="137"/>
      <c r="U1092" s="137"/>
      <c r="V1092" s="137"/>
      <c r="W1092" s="137"/>
    </row>
    <row r="1093" spans="1:23" x14ac:dyDescent="0.25">
      <c r="A1093" s="137"/>
      <c r="B1093" s="137"/>
      <c r="C1093" s="137"/>
      <c r="D1093" s="137"/>
      <c r="E1093" s="137"/>
      <c r="F1093" s="137"/>
      <c r="G1093" s="137"/>
      <c r="H1093" s="137"/>
      <c r="I1093" s="137"/>
      <c r="J1093" s="137"/>
      <c r="K1093" s="137"/>
      <c r="L1093" s="137"/>
      <c r="M1093" s="137"/>
      <c r="N1093" s="137"/>
      <c r="O1093" s="137"/>
      <c r="P1093" s="137"/>
      <c r="Q1093" s="137"/>
      <c r="R1093" s="137"/>
      <c r="S1093" s="137"/>
      <c r="T1093" s="137"/>
      <c r="U1093" s="137"/>
      <c r="V1093" s="137"/>
      <c r="W1093" s="137"/>
    </row>
    <row r="1094" spans="1:23" x14ac:dyDescent="0.25">
      <c r="A1094" s="137"/>
      <c r="B1094" s="137"/>
      <c r="C1094" s="137"/>
      <c r="D1094" s="137"/>
      <c r="E1094" s="137"/>
      <c r="F1094" s="137"/>
      <c r="G1094" s="137"/>
      <c r="H1094" s="137"/>
      <c r="I1094" s="137"/>
      <c r="J1094" s="137"/>
      <c r="K1094" s="137"/>
      <c r="L1094" s="137"/>
      <c r="M1094" s="137"/>
      <c r="N1094" s="137"/>
      <c r="O1094" s="137"/>
      <c r="P1094" s="137"/>
      <c r="Q1094" s="137"/>
      <c r="R1094" s="137"/>
      <c r="S1094" s="137"/>
      <c r="T1094" s="137"/>
      <c r="U1094" s="137"/>
      <c r="V1094" s="137"/>
      <c r="W1094" s="137"/>
    </row>
    <row r="1095" spans="1:23" x14ac:dyDescent="0.25">
      <c r="A1095" s="137"/>
      <c r="B1095" s="137"/>
      <c r="C1095" s="137"/>
      <c r="D1095" s="137"/>
      <c r="E1095" s="137"/>
      <c r="F1095" s="137"/>
      <c r="G1095" s="137"/>
      <c r="H1095" s="137"/>
      <c r="I1095" s="137"/>
      <c r="J1095" s="137"/>
      <c r="K1095" s="137"/>
      <c r="L1095" s="137"/>
      <c r="M1095" s="137"/>
      <c r="N1095" s="137"/>
      <c r="O1095" s="137"/>
      <c r="P1095" s="137"/>
      <c r="Q1095" s="137"/>
      <c r="R1095" s="137"/>
      <c r="S1095" s="137"/>
      <c r="T1095" s="137"/>
      <c r="U1095" s="137"/>
      <c r="V1095" s="137"/>
      <c r="W1095" s="137"/>
    </row>
    <row r="1096" spans="1:23" x14ac:dyDescent="0.25">
      <c r="A1096" s="137"/>
      <c r="B1096" s="137"/>
      <c r="C1096" s="137"/>
      <c r="D1096" s="137"/>
      <c r="E1096" s="137"/>
      <c r="F1096" s="137"/>
      <c r="G1096" s="137"/>
      <c r="H1096" s="137"/>
      <c r="I1096" s="137"/>
      <c r="J1096" s="137"/>
      <c r="K1096" s="137"/>
      <c r="L1096" s="137"/>
      <c r="M1096" s="137"/>
      <c r="N1096" s="137"/>
      <c r="O1096" s="137"/>
      <c r="P1096" s="137"/>
      <c r="Q1096" s="137"/>
      <c r="R1096" s="137"/>
      <c r="S1096" s="137"/>
      <c r="T1096" s="137"/>
      <c r="U1096" s="137"/>
      <c r="V1096" s="137"/>
      <c r="W1096" s="137"/>
    </row>
    <row r="1097" spans="1:23" x14ac:dyDescent="0.25">
      <c r="A1097" s="137"/>
      <c r="B1097" s="137"/>
      <c r="C1097" s="137"/>
      <c r="D1097" s="137"/>
      <c r="E1097" s="137"/>
      <c r="F1097" s="137"/>
      <c r="G1097" s="137"/>
      <c r="H1097" s="137"/>
      <c r="I1097" s="137"/>
      <c r="J1097" s="137"/>
      <c r="K1097" s="137"/>
      <c r="L1097" s="137"/>
      <c r="M1097" s="137"/>
      <c r="N1097" s="137"/>
      <c r="O1097" s="137"/>
      <c r="P1097" s="137"/>
      <c r="Q1097" s="137"/>
      <c r="R1097" s="137"/>
      <c r="S1097" s="137"/>
      <c r="T1097" s="137"/>
      <c r="U1097" s="137"/>
      <c r="V1097" s="137"/>
      <c r="W1097" s="137"/>
    </row>
    <row r="1098" spans="1:23" x14ac:dyDescent="0.25">
      <c r="A1098" s="137"/>
      <c r="B1098" s="137"/>
      <c r="C1098" s="137"/>
      <c r="D1098" s="137"/>
      <c r="E1098" s="137"/>
      <c r="F1098" s="137"/>
      <c r="G1098" s="137"/>
      <c r="H1098" s="137"/>
      <c r="I1098" s="137"/>
      <c r="J1098" s="137"/>
      <c r="K1098" s="137"/>
      <c r="L1098" s="137"/>
      <c r="M1098" s="137"/>
      <c r="N1098" s="137"/>
      <c r="O1098" s="137"/>
      <c r="P1098" s="137"/>
      <c r="Q1098" s="137"/>
      <c r="R1098" s="137"/>
      <c r="S1098" s="137"/>
      <c r="T1098" s="137"/>
      <c r="U1098" s="137"/>
      <c r="V1098" s="137"/>
      <c r="W1098" s="137"/>
    </row>
    <row r="1099" spans="1:23" x14ac:dyDescent="0.25">
      <c r="A1099" s="137"/>
      <c r="B1099" s="137"/>
      <c r="C1099" s="137"/>
      <c r="D1099" s="137"/>
      <c r="E1099" s="137"/>
      <c r="F1099" s="137"/>
      <c r="G1099" s="137"/>
      <c r="H1099" s="137"/>
      <c r="I1099" s="137"/>
      <c r="J1099" s="137"/>
      <c r="K1099" s="137"/>
      <c r="L1099" s="137"/>
      <c r="M1099" s="137"/>
      <c r="N1099" s="137"/>
      <c r="O1099" s="137"/>
      <c r="P1099" s="137"/>
      <c r="Q1099" s="137"/>
      <c r="R1099" s="137"/>
      <c r="S1099" s="137"/>
      <c r="T1099" s="137"/>
      <c r="U1099" s="137"/>
      <c r="V1099" s="137"/>
      <c r="W1099" s="137"/>
    </row>
    <row r="1100" spans="1:23" x14ac:dyDescent="0.25">
      <c r="A1100" s="137"/>
      <c r="B1100" s="137"/>
      <c r="C1100" s="137"/>
      <c r="D1100" s="137"/>
      <c r="E1100" s="137"/>
      <c r="F1100" s="137"/>
      <c r="G1100" s="137"/>
      <c r="H1100" s="137"/>
      <c r="I1100" s="137"/>
      <c r="J1100" s="137"/>
      <c r="K1100" s="137"/>
      <c r="L1100" s="137"/>
      <c r="M1100" s="137"/>
      <c r="N1100" s="137"/>
      <c r="O1100" s="137"/>
      <c r="P1100" s="137"/>
      <c r="Q1100" s="137"/>
      <c r="R1100" s="137"/>
      <c r="S1100" s="137"/>
      <c r="T1100" s="137"/>
      <c r="U1100" s="137"/>
      <c r="V1100" s="137"/>
      <c r="W1100" s="137"/>
    </row>
    <row r="1101" spans="1:23" x14ac:dyDescent="0.25">
      <c r="A1101" s="137"/>
      <c r="B1101" s="137"/>
      <c r="C1101" s="137"/>
      <c r="D1101" s="137"/>
      <c r="E1101" s="137"/>
      <c r="F1101" s="137"/>
      <c r="G1101" s="137"/>
      <c r="H1101" s="137"/>
      <c r="I1101" s="137"/>
      <c r="J1101" s="137"/>
      <c r="K1101" s="137"/>
      <c r="L1101" s="137"/>
      <c r="M1101" s="137"/>
      <c r="N1101" s="137"/>
      <c r="O1101" s="137"/>
      <c r="P1101" s="137"/>
      <c r="Q1101" s="137"/>
      <c r="R1101" s="137"/>
      <c r="S1101" s="137"/>
      <c r="T1101" s="137"/>
      <c r="U1101" s="137"/>
      <c r="V1101" s="137"/>
      <c r="W1101" s="137"/>
    </row>
    <row r="1102" spans="1:23" x14ac:dyDescent="0.25">
      <c r="A1102" s="137"/>
      <c r="B1102" s="137"/>
      <c r="C1102" s="137"/>
      <c r="D1102" s="137"/>
      <c r="E1102" s="137"/>
      <c r="F1102" s="137"/>
      <c r="G1102" s="137"/>
      <c r="H1102" s="137"/>
      <c r="I1102" s="137"/>
      <c r="J1102" s="137"/>
      <c r="K1102" s="137"/>
      <c r="L1102" s="137"/>
      <c r="M1102" s="137"/>
      <c r="N1102" s="137"/>
      <c r="O1102" s="137"/>
      <c r="P1102" s="137"/>
      <c r="Q1102" s="137"/>
      <c r="R1102" s="137"/>
      <c r="S1102" s="137"/>
      <c r="T1102" s="137"/>
      <c r="U1102" s="137"/>
      <c r="V1102" s="137"/>
      <c r="W1102" s="137"/>
    </row>
    <row r="1103" spans="1:23" x14ac:dyDescent="0.25">
      <c r="A1103" s="137"/>
      <c r="B1103" s="137"/>
      <c r="C1103" s="137"/>
      <c r="D1103" s="137"/>
      <c r="E1103" s="137"/>
      <c r="F1103" s="137"/>
      <c r="G1103" s="137"/>
      <c r="H1103" s="137"/>
      <c r="I1103" s="137"/>
      <c r="J1103" s="137"/>
      <c r="K1103" s="137"/>
      <c r="L1103" s="137"/>
      <c r="M1103" s="137"/>
      <c r="N1103" s="137"/>
      <c r="O1103" s="137"/>
      <c r="P1103" s="137"/>
      <c r="Q1103" s="137"/>
      <c r="R1103" s="137"/>
      <c r="S1103" s="137"/>
      <c r="T1103" s="137"/>
      <c r="U1103" s="137"/>
      <c r="V1103" s="137"/>
      <c r="W1103" s="137"/>
    </row>
    <row r="1104" spans="1:23" x14ac:dyDescent="0.25">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row>
    <row r="1105" spans="1:23" x14ac:dyDescent="0.25">
      <c r="A1105" s="137"/>
      <c r="B1105" s="137"/>
      <c r="C1105" s="137"/>
      <c r="D1105" s="137"/>
      <c r="E1105" s="137"/>
      <c r="F1105" s="137"/>
      <c r="G1105" s="137"/>
      <c r="H1105" s="137"/>
      <c r="I1105" s="137"/>
      <c r="J1105" s="137"/>
      <c r="K1105" s="137"/>
      <c r="L1105" s="137"/>
      <c r="M1105" s="137"/>
      <c r="N1105" s="137"/>
      <c r="O1105" s="137"/>
      <c r="P1105" s="137"/>
      <c r="Q1105" s="137"/>
      <c r="R1105" s="137"/>
      <c r="S1105" s="137"/>
      <c r="T1105" s="137"/>
      <c r="U1105" s="137"/>
      <c r="V1105" s="137"/>
      <c r="W1105" s="137"/>
    </row>
    <row r="1106" spans="1:23" x14ac:dyDescent="0.25">
      <c r="A1106" s="137"/>
      <c r="B1106" s="137"/>
      <c r="C1106" s="137"/>
      <c r="D1106" s="137"/>
      <c r="E1106" s="137"/>
      <c r="F1106" s="137"/>
      <c r="G1106" s="137"/>
      <c r="H1106" s="137"/>
      <c r="I1106" s="137"/>
      <c r="J1106" s="137"/>
      <c r="K1106" s="137"/>
      <c r="L1106" s="137"/>
      <c r="M1106" s="137"/>
      <c r="N1106" s="137"/>
      <c r="O1106" s="137"/>
      <c r="P1106" s="137"/>
      <c r="Q1106" s="137"/>
      <c r="R1106" s="137"/>
      <c r="S1106" s="137"/>
      <c r="T1106" s="137"/>
      <c r="U1106" s="137"/>
      <c r="V1106" s="137"/>
      <c r="W1106" s="137"/>
    </row>
    <row r="1107" spans="1:23" x14ac:dyDescent="0.25">
      <c r="A1107" s="137"/>
      <c r="B1107" s="137"/>
      <c r="C1107" s="137"/>
      <c r="D1107" s="137"/>
      <c r="E1107" s="137"/>
      <c r="F1107" s="137"/>
      <c r="G1107" s="137"/>
      <c r="H1107" s="137"/>
      <c r="I1107" s="137"/>
      <c r="J1107" s="137"/>
      <c r="K1107" s="137"/>
      <c r="L1107" s="137"/>
      <c r="M1107" s="137"/>
      <c r="N1107" s="137"/>
      <c r="O1107" s="137"/>
      <c r="P1107" s="137"/>
      <c r="Q1107" s="137"/>
      <c r="R1107" s="137"/>
      <c r="S1107" s="137"/>
      <c r="T1107" s="137"/>
      <c r="U1107" s="137"/>
      <c r="V1107" s="137"/>
      <c r="W1107" s="137"/>
    </row>
    <row r="1108" spans="1:23" x14ac:dyDescent="0.25">
      <c r="A1108" s="137"/>
      <c r="B1108" s="137"/>
      <c r="C1108" s="137"/>
      <c r="D1108" s="137"/>
      <c r="E1108" s="137"/>
      <c r="F1108" s="137"/>
      <c r="G1108" s="137"/>
      <c r="H1108" s="137"/>
      <c r="I1108" s="137"/>
      <c r="J1108" s="137"/>
      <c r="K1108" s="137"/>
      <c r="L1108" s="137"/>
      <c r="M1108" s="137"/>
      <c r="N1108" s="137"/>
      <c r="O1108" s="137"/>
      <c r="P1108" s="137"/>
      <c r="Q1108" s="137"/>
      <c r="R1108" s="137"/>
      <c r="S1108" s="137"/>
      <c r="T1108" s="137"/>
      <c r="U1108" s="137"/>
      <c r="V1108" s="137"/>
      <c r="W1108" s="137"/>
    </row>
    <row r="1109" spans="1:23" x14ac:dyDescent="0.25">
      <c r="A1109" s="137"/>
      <c r="B1109" s="137"/>
      <c r="C1109" s="137"/>
      <c r="D1109" s="137"/>
      <c r="E1109" s="137"/>
      <c r="F1109" s="137"/>
      <c r="G1109" s="137"/>
      <c r="H1109" s="137"/>
      <c r="I1109" s="137"/>
      <c r="J1109" s="137"/>
      <c r="K1109" s="137"/>
      <c r="L1109" s="137"/>
      <c r="M1109" s="137"/>
      <c r="N1109" s="137"/>
      <c r="O1109" s="137"/>
      <c r="P1109" s="137"/>
      <c r="Q1109" s="137"/>
      <c r="R1109" s="137"/>
      <c r="S1109" s="137"/>
      <c r="T1109" s="137"/>
      <c r="U1109" s="137"/>
      <c r="V1109" s="137"/>
      <c r="W1109" s="137"/>
    </row>
    <row r="1110" spans="1:23" x14ac:dyDescent="0.25">
      <c r="A1110" s="137"/>
      <c r="B1110" s="137"/>
      <c r="C1110" s="137"/>
      <c r="D1110" s="137"/>
      <c r="E1110" s="137"/>
      <c r="F1110" s="137"/>
      <c r="G1110" s="137"/>
      <c r="H1110" s="137"/>
      <c r="I1110" s="137"/>
      <c r="J1110" s="137"/>
      <c r="K1110" s="137"/>
      <c r="L1110" s="137"/>
      <c r="M1110" s="137"/>
      <c r="N1110" s="137"/>
      <c r="O1110" s="137"/>
      <c r="P1110" s="137"/>
      <c r="Q1110" s="137"/>
      <c r="R1110" s="137"/>
      <c r="S1110" s="137"/>
      <c r="T1110" s="137"/>
      <c r="U1110" s="137"/>
      <c r="V1110" s="137"/>
      <c r="W1110" s="137"/>
    </row>
    <row r="1111" spans="1:23" x14ac:dyDescent="0.25">
      <c r="A1111" s="137"/>
      <c r="B1111" s="137"/>
      <c r="C1111" s="137"/>
      <c r="D1111" s="137"/>
      <c r="E1111" s="137"/>
      <c r="F1111" s="137"/>
      <c r="G1111" s="137"/>
      <c r="H1111" s="137"/>
      <c r="I1111" s="137"/>
      <c r="J1111" s="137"/>
      <c r="K1111" s="137"/>
      <c r="L1111" s="137"/>
      <c r="M1111" s="137"/>
      <c r="N1111" s="137"/>
      <c r="O1111" s="137"/>
      <c r="P1111" s="137"/>
      <c r="Q1111" s="137"/>
      <c r="R1111" s="137"/>
      <c r="S1111" s="137"/>
      <c r="T1111" s="137"/>
      <c r="U1111" s="137"/>
      <c r="V1111" s="137"/>
      <c r="W1111" s="137"/>
    </row>
    <row r="1112" spans="1:23" x14ac:dyDescent="0.25">
      <c r="A1112" s="137"/>
      <c r="B1112" s="137"/>
      <c r="C1112" s="137"/>
      <c r="D1112" s="137"/>
      <c r="E1112" s="137"/>
      <c r="F1112" s="137"/>
      <c r="G1112" s="137"/>
      <c r="H1112" s="137"/>
      <c r="I1112" s="137"/>
      <c r="J1112" s="137"/>
      <c r="K1112" s="137"/>
      <c r="L1112" s="137"/>
      <c r="M1112" s="137"/>
      <c r="N1112" s="137"/>
      <c r="O1112" s="137"/>
      <c r="P1112" s="137"/>
      <c r="Q1112" s="137"/>
      <c r="R1112" s="137"/>
      <c r="S1112" s="137"/>
      <c r="T1112" s="137"/>
      <c r="U1112" s="137"/>
      <c r="V1112" s="137"/>
      <c r="W1112" s="137"/>
    </row>
    <row r="1113" spans="1:23" x14ac:dyDescent="0.25">
      <c r="A1113" s="137"/>
      <c r="B1113" s="137"/>
      <c r="C1113" s="137"/>
      <c r="D1113" s="137"/>
      <c r="E1113" s="137"/>
      <c r="F1113" s="137"/>
      <c r="G1113" s="137"/>
      <c r="H1113" s="137"/>
      <c r="I1113" s="137"/>
      <c r="J1113" s="137"/>
      <c r="K1113" s="137"/>
      <c r="L1113" s="137"/>
      <c r="M1113" s="137"/>
      <c r="N1113" s="137"/>
      <c r="O1113" s="137"/>
      <c r="P1113" s="137"/>
      <c r="Q1113" s="137"/>
      <c r="R1113" s="137"/>
      <c r="S1113" s="137"/>
      <c r="T1113" s="137"/>
      <c r="U1113" s="137"/>
      <c r="V1113" s="137"/>
      <c r="W1113" s="137"/>
    </row>
    <row r="1114" spans="1:23" x14ac:dyDescent="0.25">
      <c r="A1114" s="137"/>
      <c r="B1114" s="137"/>
      <c r="C1114" s="137"/>
      <c r="D1114" s="137"/>
      <c r="E1114" s="137"/>
      <c r="F1114" s="137"/>
      <c r="G1114" s="137"/>
      <c r="H1114" s="137"/>
      <c r="I1114" s="137"/>
      <c r="J1114" s="137"/>
      <c r="K1114" s="137"/>
      <c r="L1114" s="137"/>
      <c r="M1114" s="137"/>
      <c r="N1114" s="137"/>
      <c r="O1114" s="137"/>
      <c r="P1114" s="137"/>
      <c r="Q1114" s="137"/>
      <c r="R1114" s="137"/>
      <c r="S1114" s="137"/>
      <c r="T1114" s="137"/>
      <c r="U1114" s="137"/>
      <c r="V1114" s="137"/>
      <c r="W1114" s="137"/>
    </row>
    <row r="1115" spans="1:23" x14ac:dyDescent="0.25">
      <c r="A1115" s="137"/>
      <c r="B1115" s="137"/>
      <c r="C1115" s="137"/>
      <c r="D1115" s="137"/>
      <c r="E1115" s="137"/>
      <c r="F1115" s="137"/>
      <c r="G1115" s="137"/>
      <c r="H1115" s="137"/>
      <c r="I1115" s="137"/>
      <c r="J1115" s="137"/>
      <c r="K1115" s="137"/>
      <c r="L1115" s="137"/>
      <c r="M1115" s="137"/>
      <c r="N1115" s="137"/>
      <c r="O1115" s="137"/>
      <c r="P1115" s="137"/>
      <c r="Q1115" s="137"/>
      <c r="R1115" s="137"/>
      <c r="S1115" s="137"/>
      <c r="T1115" s="137"/>
      <c r="U1115" s="137"/>
      <c r="V1115" s="137"/>
      <c r="W1115" s="137"/>
    </row>
    <row r="1116" spans="1:23" x14ac:dyDescent="0.25">
      <c r="A1116" s="137"/>
      <c r="B1116" s="137"/>
      <c r="C1116" s="137"/>
      <c r="D1116" s="137"/>
      <c r="E1116" s="137"/>
      <c r="F1116" s="137"/>
      <c r="G1116" s="137"/>
      <c r="H1116" s="137"/>
      <c r="I1116" s="137"/>
      <c r="J1116" s="137"/>
      <c r="K1116" s="137"/>
      <c r="L1116" s="137"/>
      <c r="M1116" s="137"/>
      <c r="N1116" s="137"/>
      <c r="O1116" s="137"/>
      <c r="P1116" s="137"/>
      <c r="Q1116" s="137"/>
      <c r="R1116" s="137"/>
      <c r="S1116" s="137"/>
      <c r="T1116" s="137"/>
      <c r="U1116" s="137"/>
      <c r="V1116" s="137"/>
      <c r="W1116" s="137"/>
    </row>
    <row r="1117" spans="1:23" x14ac:dyDescent="0.25">
      <c r="A1117" s="137"/>
      <c r="B1117" s="137"/>
      <c r="C1117" s="137"/>
      <c r="D1117" s="137"/>
      <c r="E1117" s="137"/>
      <c r="F1117" s="137"/>
      <c r="G1117" s="137"/>
      <c r="H1117" s="137"/>
      <c r="I1117" s="137"/>
      <c r="J1117" s="137"/>
      <c r="K1117" s="137"/>
      <c r="L1117" s="137"/>
      <c r="M1117" s="137"/>
      <c r="N1117" s="137"/>
      <c r="O1117" s="137"/>
      <c r="P1117" s="137"/>
      <c r="Q1117" s="137"/>
      <c r="R1117" s="137"/>
      <c r="S1117" s="137"/>
      <c r="T1117" s="137"/>
      <c r="U1117" s="137"/>
      <c r="V1117" s="137"/>
      <c r="W1117" s="137"/>
    </row>
    <row r="1118" spans="1:23" x14ac:dyDescent="0.25">
      <c r="A1118" s="137"/>
      <c r="B1118" s="137"/>
      <c r="C1118" s="137"/>
      <c r="D1118" s="137"/>
      <c r="E1118" s="137"/>
      <c r="F1118" s="137"/>
      <c r="G1118" s="137"/>
      <c r="H1118" s="137"/>
      <c r="I1118" s="137"/>
      <c r="J1118" s="137"/>
      <c r="K1118" s="137"/>
      <c r="L1118" s="137"/>
      <c r="M1118" s="137"/>
      <c r="N1118" s="137"/>
      <c r="O1118" s="137"/>
      <c r="P1118" s="137"/>
      <c r="Q1118" s="137"/>
      <c r="R1118" s="137"/>
      <c r="S1118" s="137"/>
      <c r="T1118" s="137"/>
      <c r="U1118" s="137"/>
      <c r="V1118" s="137"/>
      <c r="W1118" s="137"/>
    </row>
    <row r="1119" spans="1:23" x14ac:dyDescent="0.25">
      <c r="A1119" s="137"/>
      <c r="B1119" s="137"/>
      <c r="C1119" s="137"/>
      <c r="D1119" s="137"/>
      <c r="E1119" s="137"/>
      <c r="F1119" s="137"/>
      <c r="G1119" s="137"/>
      <c r="H1119" s="137"/>
      <c r="I1119" s="137"/>
      <c r="J1119" s="137"/>
      <c r="K1119" s="137"/>
      <c r="L1119" s="137"/>
      <c r="M1119" s="137"/>
      <c r="N1119" s="137"/>
      <c r="O1119" s="137"/>
      <c r="P1119" s="137"/>
      <c r="Q1119" s="137"/>
      <c r="R1119" s="137"/>
      <c r="S1119" s="137"/>
      <c r="T1119" s="137"/>
      <c r="U1119" s="137"/>
      <c r="V1119" s="137"/>
      <c r="W1119" s="137"/>
    </row>
    <row r="1120" spans="1:23" x14ac:dyDescent="0.25">
      <c r="A1120" s="137"/>
      <c r="B1120" s="137"/>
      <c r="C1120" s="137"/>
      <c r="D1120" s="137"/>
      <c r="E1120" s="137"/>
      <c r="F1120" s="137"/>
      <c r="G1120" s="137"/>
      <c r="H1120" s="137"/>
      <c r="I1120" s="137"/>
      <c r="J1120" s="137"/>
      <c r="K1120" s="137"/>
      <c r="L1120" s="137"/>
      <c r="M1120" s="137"/>
      <c r="N1120" s="137"/>
      <c r="O1120" s="137"/>
      <c r="P1120" s="137"/>
      <c r="Q1120" s="137"/>
      <c r="R1120" s="137"/>
      <c r="S1120" s="137"/>
      <c r="T1120" s="137"/>
      <c r="U1120" s="137"/>
      <c r="V1120" s="137"/>
      <c r="W1120" s="137"/>
    </row>
    <row r="1121" spans="1:23" x14ac:dyDescent="0.25">
      <c r="A1121" s="137"/>
      <c r="B1121" s="137"/>
      <c r="C1121" s="137"/>
      <c r="D1121" s="137"/>
      <c r="E1121" s="137"/>
      <c r="F1121" s="137"/>
      <c r="G1121" s="137"/>
      <c r="H1121" s="137"/>
      <c r="I1121" s="137"/>
      <c r="J1121" s="137"/>
      <c r="K1121" s="137"/>
      <c r="L1121" s="137"/>
      <c r="M1121" s="137"/>
      <c r="N1121" s="137"/>
      <c r="O1121" s="137"/>
      <c r="P1121" s="137"/>
      <c r="Q1121" s="137"/>
      <c r="R1121" s="137"/>
      <c r="S1121" s="137"/>
      <c r="T1121" s="137"/>
      <c r="U1121" s="137"/>
      <c r="V1121" s="137"/>
      <c r="W1121" s="137"/>
    </row>
    <row r="1122" spans="1:23" x14ac:dyDescent="0.25">
      <c r="A1122" s="137"/>
      <c r="B1122" s="137"/>
      <c r="C1122" s="137"/>
      <c r="D1122" s="137"/>
      <c r="E1122" s="137"/>
      <c r="F1122" s="137"/>
      <c r="G1122" s="137"/>
      <c r="H1122" s="137"/>
      <c r="I1122" s="137"/>
      <c r="J1122" s="137"/>
      <c r="K1122" s="137"/>
      <c r="L1122" s="137"/>
      <c r="M1122" s="137"/>
      <c r="N1122" s="137"/>
      <c r="O1122" s="137"/>
      <c r="P1122" s="137"/>
      <c r="Q1122" s="137"/>
      <c r="R1122" s="137"/>
      <c r="S1122" s="137"/>
      <c r="T1122" s="137"/>
      <c r="U1122" s="137"/>
      <c r="V1122" s="137"/>
      <c r="W1122" s="137"/>
    </row>
    <row r="1123" spans="1:23" x14ac:dyDescent="0.25">
      <c r="A1123" s="137"/>
      <c r="B1123" s="137"/>
      <c r="C1123" s="137"/>
      <c r="D1123" s="137"/>
      <c r="E1123" s="137"/>
      <c r="F1123" s="137"/>
      <c r="G1123" s="137"/>
      <c r="H1123" s="137"/>
      <c r="I1123" s="137"/>
      <c r="J1123" s="137"/>
      <c r="K1123" s="137"/>
      <c r="L1123" s="137"/>
      <c r="M1123" s="137"/>
      <c r="N1123" s="137"/>
      <c r="O1123" s="137"/>
      <c r="P1123" s="137"/>
      <c r="Q1123" s="137"/>
      <c r="R1123" s="137"/>
      <c r="S1123" s="137"/>
      <c r="T1123" s="137"/>
      <c r="U1123" s="137"/>
      <c r="V1123" s="137"/>
      <c r="W1123" s="137"/>
    </row>
    <row r="1124" spans="1:23" x14ac:dyDescent="0.25">
      <c r="A1124" s="137"/>
      <c r="B1124" s="137"/>
      <c r="C1124" s="137"/>
      <c r="D1124" s="137"/>
      <c r="E1124" s="137"/>
      <c r="F1124" s="137"/>
      <c r="G1124" s="137"/>
      <c r="H1124" s="137"/>
      <c r="I1124" s="137"/>
      <c r="J1124" s="137"/>
      <c r="K1124" s="137"/>
      <c r="L1124" s="137"/>
      <c r="M1124" s="137"/>
      <c r="N1124" s="137"/>
      <c r="O1124" s="137"/>
      <c r="P1124" s="137"/>
      <c r="Q1124" s="137"/>
      <c r="R1124" s="137"/>
      <c r="S1124" s="137"/>
      <c r="T1124" s="137"/>
      <c r="U1124" s="137"/>
      <c r="V1124" s="137"/>
      <c r="W1124" s="137"/>
    </row>
    <row r="1125" spans="1:23" x14ac:dyDescent="0.25">
      <c r="A1125" s="137"/>
      <c r="B1125" s="137"/>
      <c r="C1125" s="137"/>
      <c r="D1125" s="137"/>
      <c r="E1125" s="137"/>
      <c r="F1125" s="137"/>
      <c r="G1125" s="137"/>
      <c r="H1125" s="137"/>
      <c r="I1125" s="137"/>
      <c r="J1125" s="137"/>
      <c r="K1125" s="137"/>
      <c r="L1125" s="137"/>
      <c r="M1125" s="137"/>
      <c r="N1125" s="137"/>
      <c r="O1125" s="137"/>
      <c r="P1125" s="137"/>
      <c r="Q1125" s="137"/>
      <c r="R1125" s="137"/>
      <c r="S1125" s="137"/>
      <c r="T1125" s="137"/>
      <c r="U1125" s="137"/>
      <c r="V1125" s="137"/>
      <c r="W1125" s="137"/>
    </row>
    <row r="1126" spans="1:23" x14ac:dyDescent="0.25">
      <c r="A1126" s="137"/>
      <c r="B1126" s="137"/>
      <c r="C1126" s="137"/>
      <c r="D1126" s="137"/>
      <c r="E1126" s="137"/>
      <c r="F1126" s="137"/>
      <c r="G1126" s="137"/>
      <c r="H1126" s="137"/>
      <c r="I1126" s="137"/>
      <c r="J1126" s="137"/>
      <c r="K1126" s="137"/>
      <c r="L1126" s="137"/>
      <c r="M1126" s="137"/>
      <c r="N1126" s="137"/>
      <c r="O1126" s="137"/>
      <c r="P1126" s="137"/>
      <c r="Q1126" s="137"/>
      <c r="R1126" s="137"/>
      <c r="S1126" s="137"/>
      <c r="T1126" s="137"/>
      <c r="U1126" s="137"/>
      <c r="V1126" s="137"/>
      <c r="W1126" s="137"/>
    </row>
    <row r="1127" spans="1:23" x14ac:dyDescent="0.25">
      <c r="A1127" s="137"/>
      <c r="B1127" s="137"/>
      <c r="C1127" s="137"/>
      <c r="D1127" s="137"/>
      <c r="E1127" s="137"/>
      <c r="F1127" s="137"/>
      <c r="G1127" s="137"/>
      <c r="H1127" s="137"/>
      <c r="I1127" s="137"/>
      <c r="J1127" s="137"/>
      <c r="K1127" s="137"/>
      <c r="L1127" s="137"/>
      <c r="M1127" s="137"/>
      <c r="N1127" s="137"/>
      <c r="O1127" s="137"/>
      <c r="P1127" s="137"/>
      <c r="Q1127" s="137"/>
      <c r="R1127" s="137"/>
      <c r="S1127" s="137"/>
      <c r="T1127" s="137"/>
      <c r="U1127" s="137"/>
      <c r="V1127" s="137"/>
      <c r="W1127" s="137"/>
    </row>
    <row r="1128" spans="1:23" x14ac:dyDescent="0.25">
      <c r="A1128" s="137"/>
      <c r="B1128" s="137"/>
      <c r="C1128" s="137"/>
      <c r="D1128" s="137"/>
      <c r="E1128" s="137"/>
      <c r="F1128" s="137"/>
      <c r="G1128" s="137"/>
      <c r="H1128" s="137"/>
      <c r="I1128" s="137"/>
      <c r="J1128" s="137"/>
      <c r="K1128" s="137"/>
      <c r="L1128" s="137"/>
      <c r="M1128" s="137"/>
      <c r="N1128" s="137"/>
      <c r="O1128" s="137"/>
      <c r="P1128" s="137"/>
      <c r="Q1128" s="137"/>
      <c r="R1128" s="137"/>
      <c r="S1128" s="137"/>
      <c r="T1128" s="137"/>
      <c r="U1128" s="137"/>
      <c r="V1128" s="137"/>
      <c r="W1128" s="137"/>
    </row>
    <row r="1129" spans="1:23" x14ac:dyDescent="0.25">
      <c r="A1129" s="137"/>
      <c r="B1129" s="137"/>
      <c r="C1129" s="137"/>
      <c r="D1129" s="137"/>
      <c r="E1129" s="137"/>
      <c r="F1129" s="137"/>
      <c r="G1129" s="137"/>
      <c r="H1129" s="137"/>
      <c r="I1129" s="137"/>
      <c r="J1129" s="137"/>
      <c r="K1129" s="137"/>
      <c r="L1129" s="137"/>
      <c r="M1129" s="137"/>
      <c r="N1129" s="137"/>
      <c r="O1129" s="137"/>
      <c r="P1129" s="137"/>
      <c r="Q1129" s="137"/>
      <c r="R1129" s="137"/>
      <c r="S1129" s="137"/>
      <c r="T1129" s="137"/>
      <c r="U1129" s="137"/>
      <c r="V1129" s="137"/>
      <c r="W1129" s="137"/>
    </row>
    <row r="1130" spans="1:23" x14ac:dyDescent="0.25">
      <c r="A1130" s="137"/>
      <c r="B1130" s="137"/>
      <c r="C1130" s="137"/>
      <c r="D1130" s="137"/>
      <c r="E1130" s="137"/>
      <c r="F1130" s="137"/>
      <c r="G1130" s="137"/>
      <c r="H1130" s="137"/>
      <c r="I1130" s="137"/>
      <c r="J1130" s="137"/>
      <c r="K1130" s="137"/>
      <c r="L1130" s="137"/>
      <c r="M1130" s="137"/>
      <c r="N1130" s="137"/>
      <c r="O1130" s="137"/>
      <c r="P1130" s="137"/>
      <c r="Q1130" s="137"/>
      <c r="R1130" s="137"/>
      <c r="S1130" s="137"/>
      <c r="T1130" s="137"/>
      <c r="U1130" s="137"/>
      <c r="V1130" s="137"/>
      <c r="W1130" s="137"/>
    </row>
    <row r="1131" spans="1:23" x14ac:dyDescent="0.25">
      <c r="A1131" s="137"/>
      <c r="B1131" s="137"/>
      <c r="C1131" s="137"/>
      <c r="D1131" s="137"/>
      <c r="E1131" s="137"/>
      <c r="F1131" s="137"/>
      <c r="G1131" s="137"/>
      <c r="H1131" s="137"/>
      <c r="I1131" s="137"/>
      <c r="J1131" s="137"/>
      <c r="K1131" s="137"/>
      <c r="L1131" s="137"/>
      <c r="M1131" s="137"/>
      <c r="N1131" s="137"/>
      <c r="O1131" s="137"/>
      <c r="P1131" s="137"/>
      <c r="Q1131" s="137"/>
      <c r="R1131" s="137"/>
      <c r="S1131" s="137"/>
      <c r="T1131" s="137"/>
      <c r="U1131" s="137"/>
      <c r="V1131" s="137"/>
      <c r="W1131" s="137"/>
    </row>
    <row r="1132" spans="1:23" x14ac:dyDescent="0.25">
      <c r="A1132" s="137"/>
      <c r="B1132" s="137"/>
      <c r="C1132" s="137"/>
      <c r="D1132" s="137"/>
      <c r="E1132" s="137"/>
      <c r="F1132" s="137"/>
      <c r="G1132" s="137"/>
      <c r="H1132" s="137"/>
      <c r="I1132" s="137"/>
      <c r="J1132" s="137"/>
      <c r="K1132" s="137"/>
      <c r="L1132" s="137"/>
      <c r="M1132" s="137"/>
      <c r="N1132" s="137"/>
      <c r="O1132" s="137"/>
      <c r="P1132" s="137"/>
      <c r="Q1132" s="137"/>
      <c r="R1132" s="137"/>
      <c r="S1132" s="137"/>
      <c r="T1132" s="137"/>
      <c r="U1132" s="137"/>
      <c r="V1132" s="137"/>
      <c r="W1132" s="137"/>
    </row>
    <row r="1133" spans="1:23" x14ac:dyDescent="0.25">
      <c r="A1133" s="137"/>
      <c r="B1133" s="137"/>
      <c r="C1133" s="137"/>
      <c r="D1133" s="137"/>
      <c r="E1133" s="137"/>
      <c r="F1133" s="137"/>
      <c r="G1133" s="137"/>
      <c r="H1133" s="137"/>
      <c r="I1133" s="137"/>
      <c r="J1133" s="137"/>
      <c r="K1133" s="137"/>
      <c r="L1133" s="137"/>
      <c r="M1133" s="137"/>
      <c r="N1133" s="137"/>
      <c r="O1133" s="137"/>
      <c r="P1133" s="137"/>
      <c r="Q1133" s="137"/>
      <c r="R1133" s="137"/>
      <c r="S1133" s="137"/>
      <c r="T1133" s="137"/>
      <c r="U1133" s="137"/>
      <c r="V1133" s="137"/>
      <c r="W1133" s="137"/>
    </row>
    <row r="1134" spans="1:23" x14ac:dyDescent="0.25">
      <c r="A1134" s="137"/>
      <c r="B1134" s="137"/>
      <c r="C1134" s="137"/>
      <c r="D1134" s="137"/>
      <c r="E1134" s="137"/>
      <c r="F1134" s="137"/>
      <c r="G1134" s="137"/>
      <c r="H1134" s="137"/>
      <c r="I1134" s="137"/>
      <c r="J1134" s="137"/>
      <c r="K1134" s="137"/>
      <c r="L1134" s="137"/>
      <c r="M1134" s="137"/>
      <c r="N1134" s="137"/>
      <c r="O1134" s="137"/>
      <c r="P1134" s="137"/>
      <c r="Q1134" s="137"/>
      <c r="R1134" s="137"/>
      <c r="S1134" s="137"/>
      <c r="T1134" s="137"/>
      <c r="U1134" s="137"/>
      <c r="V1134" s="137"/>
      <c r="W1134" s="137"/>
    </row>
    <row r="1135" spans="1:23" x14ac:dyDescent="0.25">
      <c r="A1135" s="137"/>
      <c r="B1135" s="137"/>
      <c r="C1135" s="137"/>
      <c r="D1135" s="137"/>
      <c r="E1135" s="137"/>
      <c r="F1135" s="137"/>
      <c r="G1135" s="137"/>
      <c r="H1135" s="137"/>
      <c r="I1135" s="137"/>
      <c r="J1135" s="137"/>
      <c r="K1135" s="137"/>
      <c r="L1135" s="137"/>
      <c r="M1135" s="137"/>
      <c r="N1135" s="137"/>
      <c r="O1135" s="137"/>
      <c r="P1135" s="137"/>
      <c r="Q1135" s="137"/>
      <c r="R1135" s="137"/>
      <c r="S1135" s="137"/>
      <c r="T1135" s="137"/>
      <c r="U1135" s="137"/>
      <c r="V1135" s="137"/>
      <c r="W1135" s="137"/>
    </row>
    <row r="1136" spans="1:23" x14ac:dyDescent="0.25">
      <c r="A1136" s="137"/>
      <c r="B1136" s="137"/>
      <c r="C1136" s="137"/>
      <c r="D1136" s="137"/>
      <c r="E1136" s="137"/>
      <c r="F1136" s="137"/>
      <c r="G1136" s="137"/>
      <c r="H1136" s="137"/>
      <c r="I1136" s="137"/>
      <c r="J1136" s="137"/>
      <c r="K1136" s="137"/>
      <c r="L1136" s="137"/>
      <c r="M1136" s="137"/>
      <c r="N1136" s="137"/>
      <c r="O1136" s="137"/>
      <c r="P1136" s="137"/>
      <c r="Q1136" s="137"/>
      <c r="R1136" s="137"/>
      <c r="S1136" s="137"/>
      <c r="T1136" s="137"/>
      <c r="U1136" s="137"/>
      <c r="V1136" s="137"/>
      <c r="W1136" s="137"/>
    </row>
    <row r="1137" spans="1:23" x14ac:dyDescent="0.25">
      <c r="A1137" s="137"/>
      <c r="B1137" s="137"/>
      <c r="C1137" s="137"/>
      <c r="D1137" s="137"/>
      <c r="E1137" s="137"/>
      <c r="F1137" s="137"/>
      <c r="G1137" s="137"/>
      <c r="H1137" s="137"/>
      <c r="I1137" s="137"/>
      <c r="J1137" s="137"/>
      <c r="K1137" s="137"/>
      <c r="L1137" s="137"/>
      <c r="M1137" s="137"/>
      <c r="N1137" s="137"/>
      <c r="O1137" s="137"/>
      <c r="P1137" s="137"/>
      <c r="Q1137" s="137"/>
      <c r="R1137" s="137"/>
      <c r="S1137" s="137"/>
      <c r="T1137" s="137"/>
      <c r="U1137" s="137"/>
      <c r="V1137" s="137"/>
      <c r="W1137" s="137"/>
    </row>
    <row r="1138" spans="1:23" x14ac:dyDescent="0.25">
      <c r="A1138" s="137"/>
      <c r="B1138" s="137"/>
      <c r="C1138" s="137"/>
      <c r="D1138" s="137"/>
      <c r="E1138" s="137"/>
      <c r="F1138" s="137"/>
      <c r="G1138" s="137"/>
      <c r="H1138" s="137"/>
      <c r="I1138" s="137"/>
      <c r="J1138" s="137"/>
      <c r="K1138" s="137"/>
      <c r="L1138" s="137"/>
      <c r="M1138" s="137"/>
      <c r="N1138" s="137"/>
      <c r="O1138" s="137"/>
      <c r="P1138" s="137"/>
      <c r="Q1138" s="137"/>
      <c r="R1138" s="137"/>
      <c r="S1138" s="137"/>
      <c r="T1138" s="137"/>
      <c r="U1138" s="137"/>
      <c r="V1138" s="137"/>
      <c r="W1138" s="137"/>
    </row>
    <row r="1139" spans="1:23" x14ac:dyDescent="0.25">
      <c r="A1139" s="137"/>
      <c r="B1139" s="137"/>
      <c r="C1139" s="137"/>
      <c r="D1139" s="137"/>
      <c r="E1139" s="137"/>
      <c r="F1139" s="137"/>
      <c r="G1139" s="137"/>
      <c r="H1139" s="137"/>
      <c r="I1139" s="137"/>
      <c r="J1139" s="137"/>
      <c r="K1139" s="137"/>
      <c r="L1139" s="137"/>
      <c r="M1139" s="137"/>
      <c r="N1139" s="137"/>
      <c r="O1139" s="137"/>
      <c r="P1139" s="137"/>
      <c r="Q1139" s="137"/>
      <c r="R1139" s="137"/>
      <c r="S1139" s="137"/>
      <c r="T1139" s="137"/>
      <c r="U1139" s="137"/>
      <c r="V1139" s="137"/>
      <c r="W1139" s="137"/>
    </row>
    <row r="1140" spans="1:23" x14ac:dyDescent="0.25">
      <c r="A1140" s="137"/>
      <c r="B1140" s="137"/>
      <c r="C1140" s="137"/>
      <c r="D1140" s="137"/>
      <c r="E1140" s="137"/>
      <c r="F1140" s="137"/>
      <c r="G1140" s="137"/>
      <c r="H1140" s="137"/>
      <c r="I1140" s="137"/>
      <c r="J1140" s="137"/>
      <c r="K1140" s="137"/>
      <c r="L1140" s="137"/>
      <c r="M1140" s="137"/>
      <c r="N1140" s="137"/>
      <c r="O1140" s="137"/>
      <c r="P1140" s="137"/>
      <c r="Q1140" s="137"/>
      <c r="R1140" s="137"/>
      <c r="S1140" s="137"/>
      <c r="T1140" s="137"/>
      <c r="U1140" s="137"/>
      <c r="V1140" s="137"/>
      <c r="W1140" s="137"/>
    </row>
    <row r="1141" spans="1:23" x14ac:dyDescent="0.25">
      <c r="A1141" s="137"/>
      <c r="B1141" s="137"/>
      <c r="C1141" s="137"/>
      <c r="D1141" s="137"/>
      <c r="E1141" s="137"/>
      <c r="F1141" s="137"/>
      <c r="G1141" s="137"/>
      <c r="H1141" s="137"/>
      <c r="I1141" s="137"/>
      <c r="J1141" s="137"/>
      <c r="K1141" s="137"/>
      <c r="L1141" s="137"/>
      <c r="M1141" s="137"/>
      <c r="N1141" s="137"/>
      <c r="O1141" s="137"/>
      <c r="P1141" s="137"/>
      <c r="Q1141" s="137"/>
      <c r="R1141" s="137"/>
      <c r="S1141" s="137"/>
      <c r="T1141" s="137"/>
      <c r="U1141" s="137"/>
      <c r="V1141" s="137"/>
      <c r="W1141" s="137"/>
    </row>
    <row r="1142" spans="1:23" x14ac:dyDescent="0.25">
      <c r="A1142" s="137"/>
      <c r="B1142" s="137"/>
      <c r="C1142" s="137"/>
      <c r="D1142" s="137"/>
      <c r="E1142" s="137"/>
      <c r="F1142" s="137"/>
      <c r="G1142" s="137"/>
      <c r="H1142" s="137"/>
      <c r="I1142" s="137"/>
      <c r="J1142" s="137"/>
      <c r="K1142" s="137"/>
      <c r="L1142" s="137"/>
      <c r="M1142" s="137"/>
      <c r="N1142" s="137"/>
      <c r="O1142" s="137"/>
      <c r="P1142" s="137"/>
      <c r="Q1142" s="137"/>
      <c r="R1142" s="137"/>
      <c r="S1142" s="137"/>
      <c r="T1142" s="137"/>
      <c r="U1142" s="137"/>
      <c r="V1142" s="137"/>
      <c r="W1142" s="137"/>
    </row>
    <row r="1143" spans="1:23" x14ac:dyDescent="0.25">
      <c r="A1143" s="137"/>
      <c r="B1143" s="137"/>
      <c r="C1143" s="137"/>
      <c r="D1143" s="137"/>
      <c r="E1143" s="137"/>
      <c r="F1143" s="137"/>
      <c r="G1143" s="137"/>
      <c r="H1143" s="137"/>
      <c r="I1143" s="137"/>
      <c r="J1143" s="137"/>
      <c r="K1143" s="137"/>
      <c r="L1143" s="137"/>
      <c r="M1143" s="137"/>
      <c r="N1143" s="137"/>
      <c r="O1143" s="137"/>
      <c r="P1143" s="137"/>
      <c r="Q1143" s="137"/>
      <c r="R1143" s="137"/>
      <c r="S1143" s="137"/>
      <c r="T1143" s="137"/>
      <c r="U1143" s="137"/>
      <c r="V1143" s="137"/>
      <c r="W1143" s="137"/>
    </row>
    <row r="1144" spans="1:23" x14ac:dyDescent="0.25">
      <c r="A1144" s="137"/>
      <c r="B1144" s="137"/>
      <c r="C1144" s="137"/>
      <c r="D1144" s="137"/>
      <c r="E1144" s="137"/>
      <c r="F1144" s="137"/>
      <c r="G1144" s="137"/>
      <c r="H1144" s="137"/>
      <c r="I1144" s="137"/>
      <c r="J1144" s="137"/>
      <c r="K1144" s="137"/>
      <c r="L1144" s="137"/>
      <c r="M1144" s="137"/>
      <c r="N1144" s="137"/>
      <c r="O1144" s="137"/>
      <c r="P1144" s="137"/>
      <c r="Q1144" s="137"/>
      <c r="R1144" s="137"/>
      <c r="S1144" s="137"/>
      <c r="T1144" s="137"/>
      <c r="U1144" s="137"/>
      <c r="V1144" s="137"/>
      <c r="W1144" s="137"/>
    </row>
    <row r="1145" spans="1:23" x14ac:dyDescent="0.25">
      <c r="A1145" s="137"/>
      <c r="B1145" s="137"/>
      <c r="C1145" s="137"/>
      <c r="D1145" s="137"/>
      <c r="E1145" s="137"/>
      <c r="F1145" s="137"/>
      <c r="G1145" s="137"/>
      <c r="H1145" s="137"/>
      <c r="I1145" s="137"/>
      <c r="J1145" s="137"/>
      <c r="K1145" s="137"/>
      <c r="L1145" s="137"/>
      <c r="M1145" s="137"/>
      <c r="N1145" s="137"/>
      <c r="O1145" s="137"/>
      <c r="P1145" s="137"/>
      <c r="Q1145" s="137"/>
      <c r="R1145" s="137"/>
      <c r="S1145" s="137"/>
      <c r="T1145" s="137"/>
      <c r="U1145" s="137"/>
      <c r="V1145" s="137"/>
      <c r="W1145" s="137"/>
    </row>
    <row r="1146" spans="1:23" x14ac:dyDescent="0.25">
      <c r="A1146" s="137"/>
      <c r="B1146" s="137"/>
      <c r="C1146" s="137"/>
      <c r="D1146" s="137"/>
      <c r="E1146" s="137"/>
      <c r="F1146" s="137"/>
      <c r="G1146" s="137"/>
      <c r="H1146" s="137"/>
      <c r="I1146" s="137"/>
      <c r="J1146" s="137"/>
      <c r="K1146" s="137"/>
      <c r="L1146" s="137"/>
      <c r="M1146" s="137"/>
      <c r="N1146" s="137"/>
      <c r="O1146" s="137"/>
      <c r="P1146" s="137"/>
      <c r="Q1146" s="137"/>
      <c r="R1146" s="137"/>
      <c r="S1146" s="137"/>
      <c r="T1146" s="137"/>
      <c r="U1146" s="137"/>
      <c r="V1146" s="137"/>
      <c r="W1146" s="137"/>
    </row>
    <row r="1147" spans="1:23" x14ac:dyDescent="0.25">
      <c r="A1147" s="137"/>
      <c r="B1147" s="137"/>
      <c r="C1147" s="137"/>
      <c r="D1147" s="137"/>
      <c r="E1147" s="137"/>
      <c r="F1147" s="137"/>
      <c r="G1147" s="137"/>
      <c r="H1147" s="137"/>
      <c r="I1147" s="137"/>
      <c r="J1147" s="137"/>
      <c r="K1147" s="137"/>
      <c r="L1147" s="137"/>
      <c r="M1147" s="137"/>
      <c r="N1147" s="137"/>
      <c r="O1147" s="137"/>
      <c r="P1147" s="137"/>
      <c r="Q1147" s="137"/>
      <c r="R1147" s="137"/>
      <c r="S1147" s="137"/>
      <c r="T1147" s="137"/>
      <c r="U1147" s="137"/>
      <c r="V1147" s="137"/>
      <c r="W1147" s="137"/>
    </row>
    <row r="1148" spans="1:23" x14ac:dyDescent="0.25">
      <c r="A1148" s="137"/>
      <c r="B1148" s="137"/>
      <c r="C1148" s="137"/>
      <c r="D1148" s="137"/>
      <c r="E1148" s="137"/>
      <c r="F1148" s="137"/>
      <c r="G1148" s="137"/>
      <c r="H1148" s="137"/>
      <c r="I1148" s="137"/>
      <c r="J1148" s="137"/>
      <c r="K1148" s="137"/>
      <c r="L1148" s="137"/>
      <c r="M1148" s="137"/>
      <c r="N1148" s="137"/>
      <c r="O1148" s="137"/>
      <c r="P1148" s="137"/>
      <c r="Q1148" s="137"/>
      <c r="R1148" s="137"/>
      <c r="S1148" s="137"/>
      <c r="T1148" s="137"/>
      <c r="U1148" s="137"/>
      <c r="V1148" s="137"/>
      <c r="W1148" s="137"/>
    </row>
    <row r="1149" spans="1:23" x14ac:dyDescent="0.25">
      <c r="A1149" s="137"/>
      <c r="B1149" s="137"/>
      <c r="C1149" s="137"/>
      <c r="D1149" s="137"/>
      <c r="E1149" s="137"/>
      <c r="F1149" s="137"/>
      <c r="G1149" s="137"/>
      <c r="H1149" s="137"/>
      <c r="I1149" s="137"/>
      <c r="J1149" s="137"/>
      <c r="K1149" s="137"/>
      <c r="L1149" s="137"/>
      <c r="M1149" s="137"/>
      <c r="N1149" s="137"/>
      <c r="O1149" s="137"/>
      <c r="P1149" s="137"/>
      <c r="Q1149" s="137"/>
      <c r="R1149" s="137"/>
      <c r="S1149" s="137"/>
      <c r="T1149" s="137"/>
      <c r="U1149" s="137"/>
      <c r="V1149" s="137"/>
      <c r="W1149" s="137"/>
    </row>
    <row r="1150" spans="1:23" x14ac:dyDescent="0.25">
      <c r="A1150" s="137"/>
      <c r="B1150" s="137"/>
      <c r="C1150" s="137"/>
      <c r="D1150" s="137"/>
      <c r="E1150" s="137"/>
      <c r="F1150" s="137"/>
      <c r="G1150" s="137"/>
      <c r="H1150" s="137"/>
      <c r="I1150" s="137"/>
      <c r="J1150" s="137"/>
      <c r="K1150" s="137"/>
      <c r="L1150" s="137"/>
      <c r="M1150" s="137"/>
      <c r="N1150" s="137"/>
      <c r="O1150" s="137"/>
      <c r="P1150" s="137"/>
      <c r="Q1150" s="137"/>
      <c r="R1150" s="137"/>
      <c r="S1150" s="137"/>
      <c r="T1150" s="137"/>
      <c r="U1150" s="137"/>
      <c r="V1150" s="137"/>
      <c r="W1150" s="137"/>
    </row>
    <row r="1151" spans="1:23" x14ac:dyDescent="0.25">
      <c r="A1151" s="137"/>
      <c r="B1151" s="137"/>
      <c r="C1151" s="137"/>
      <c r="D1151" s="137"/>
      <c r="E1151" s="137"/>
      <c r="F1151" s="137"/>
      <c r="G1151" s="137"/>
      <c r="H1151" s="137"/>
      <c r="I1151" s="137"/>
      <c r="J1151" s="137"/>
      <c r="K1151" s="137"/>
      <c r="L1151" s="137"/>
      <c r="M1151" s="137"/>
      <c r="N1151" s="137"/>
      <c r="O1151" s="137"/>
      <c r="P1151" s="137"/>
      <c r="Q1151" s="137"/>
      <c r="R1151" s="137"/>
      <c r="S1151" s="137"/>
      <c r="T1151" s="137"/>
      <c r="U1151" s="137"/>
      <c r="V1151" s="137"/>
      <c r="W1151" s="137"/>
    </row>
    <row r="1152" spans="1:23" x14ac:dyDescent="0.25">
      <c r="A1152" s="137"/>
      <c r="B1152" s="137"/>
      <c r="C1152" s="137"/>
      <c r="D1152" s="137"/>
      <c r="E1152" s="137"/>
      <c r="F1152" s="137"/>
      <c r="G1152" s="137"/>
      <c r="H1152" s="137"/>
      <c r="I1152" s="137"/>
      <c r="J1152" s="137"/>
      <c r="K1152" s="137"/>
      <c r="L1152" s="137"/>
      <c r="M1152" s="137"/>
      <c r="N1152" s="137"/>
      <c r="O1152" s="137"/>
      <c r="P1152" s="137"/>
      <c r="Q1152" s="137"/>
      <c r="R1152" s="137"/>
      <c r="S1152" s="137"/>
      <c r="T1152" s="137"/>
      <c r="U1152" s="137"/>
      <c r="V1152" s="137"/>
      <c r="W1152" s="137"/>
    </row>
    <row r="1153" spans="1:23" x14ac:dyDescent="0.25">
      <c r="A1153" s="137"/>
      <c r="B1153" s="137"/>
      <c r="C1153" s="137"/>
      <c r="D1153" s="137"/>
      <c r="E1153" s="137"/>
      <c r="F1153" s="137"/>
      <c r="G1153" s="137"/>
      <c r="H1153" s="137"/>
      <c r="I1153" s="137"/>
      <c r="J1153" s="137"/>
      <c r="K1153" s="137"/>
      <c r="L1153" s="137"/>
      <c r="M1153" s="137"/>
      <c r="N1153" s="137"/>
      <c r="O1153" s="137"/>
      <c r="P1153" s="137"/>
      <c r="Q1153" s="137"/>
      <c r="R1153" s="137"/>
      <c r="S1153" s="137"/>
      <c r="T1153" s="137"/>
      <c r="U1153" s="137"/>
      <c r="V1153" s="137"/>
      <c r="W1153" s="137"/>
    </row>
    <row r="1154" spans="1:23" x14ac:dyDescent="0.25">
      <c r="A1154" s="137"/>
      <c r="B1154" s="137"/>
      <c r="C1154" s="137"/>
      <c r="D1154" s="137"/>
      <c r="E1154" s="137"/>
      <c r="F1154" s="137"/>
      <c r="G1154" s="137"/>
      <c r="H1154" s="137"/>
      <c r="I1154" s="137"/>
      <c r="J1154" s="137"/>
      <c r="K1154" s="137"/>
      <c r="L1154" s="137"/>
      <c r="M1154" s="137"/>
      <c r="N1154" s="137"/>
      <c r="O1154" s="137"/>
      <c r="P1154" s="137"/>
      <c r="Q1154" s="137"/>
      <c r="R1154" s="137"/>
      <c r="S1154" s="137"/>
      <c r="T1154" s="137"/>
      <c r="U1154" s="137"/>
      <c r="V1154" s="137"/>
      <c r="W1154" s="137"/>
    </row>
    <row r="1155" spans="1:23" x14ac:dyDescent="0.25">
      <c r="A1155" s="137"/>
      <c r="B1155" s="137"/>
      <c r="C1155" s="137"/>
      <c r="D1155" s="137"/>
      <c r="E1155" s="137"/>
      <c r="F1155" s="137"/>
      <c r="G1155" s="137"/>
      <c r="H1155" s="137"/>
      <c r="I1155" s="137"/>
      <c r="J1155" s="137"/>
      <c r="K1155" s="137"/>
      <c r="L1155" s="137"/>
      <c r="M1155" s="137"/>
      <c r="N1155" s="137"/>
      <c r="O1155" s="137"/>
      <c r="P1155" s="137"/>
      <c r="Q1155" s="137"/>
      <c r="R1155" s="137"/>
      <c r="S1155" s="137"/>
      <c r="T1155" s="137"/>
      <c r="U1155" s="137"/>
      <c r="V1155" s="137"/>
      <c r="W1155" s="137"/>
    </row>
    <row r="1156" spans="1:23" x14ac:dyDescent="0.25">
      <c r="A1156" s="137"/>
      <c r="B1156" s="137"/>
      <c r="C1156" s="137"/>
      <c r="D1156" s="137"/>
      <c r="E1156" s="137"/>
      <c r="F1156" s="137"/>
      <c r="G1156" s="137"/>
      <c r="H1156" s="137"/>
      <c r="I1156" s="137"/>
      <c r="J1156" s="137"/>
      <c r="K1156" s="137"/>
      <c r="L1156" s="137"/>
      <c r="M1156" s="137"/>
      <c r="N1156" s="137"/>
      <c r="O1156" s="137"/>
      <c r="P1156" s="137"/>
      <c r="Q1156" s="137"/>
      <c r="R1156" s="137"/>
      <c r="S1156" s="137"/>
      <c r="T1156" s="137"/>
      <c r="U1156" s="137"/>
      <c r="V1156" s="137"/>
      <c r="W1156" s="137"/>
    </row>
    <row r="1157" spans="1:23" x14ac:dyDescent="0.25">
      <c r="A1157" s="137"/>
      <c r="B1157" s="137"/>
      <c r="C1157" s="137"/>
      <c r="D1157" s="137"/>
      <c r="E1157" s="137"/>
      <c r="F1157" s="137"/>
      <c r="G1157" s="137"/>
      <c r="H1157" s="137"/>
      <c r="I1157" s="137"/>
      <c r="J1157" s="137"/>
      <c r="K1157" s="137"/>
      <c r="L1157" s="137"/>
      <c r="M1157" s="137"/>
      <c r="N1157" s="137"/>
      <c r="O1157" s="137"/>
      <c r="P1157" s="137"/>
      <c r="Q1157" s="137"/>
      <c r="R1157" s="137"/>
      <c r="S1157" s="137"/>
      <c r="T1157" s="137"/>
      <c r="U1157" s="137"/>
      <c r="V1157" s="137"/>
      <c r="W1157" s="137"/>
    </row>
    <row r="1158" spans="1:23" x14ac:dyDescent="0.25">
      <c r="A1158" s="137"/>
      <c r="B1158" s="137"/>
      <c r="C1158" s="137"/>
      <c r="D1158" s="137"/>
      <c r="E1158" s="137"/>
      <c r="F1158" s="137"/>
      <c r="G1158" s="137"/>
      <c r="H1158" s="137"/>
      <c r="I1158" s="137"/>
      <c r="J1158" s="137"/>
      <c r="K1158" s="137"/>
      <c r="L1158" s="137"/>
      <c r="M1158" s="137"/>
      <c r="N1158" s="137"/>
      <c r="O1158" s="137"/>
      <c r="P1158" s="137"/>
      <c r="Q1158" s="137"/>
      <c r="R1158" s="137"/>
      <c r="S1158" s="137"/>
      <c r="T1158" s="137"/>
      <c r="U1158" s="137"/>
      <c r="V1158" s="137"/>
      <c r="W1158" s="137"/>
    </row>
    <row r="1159" spans="1:23" x14ac:dyDescent="0.25">
      <c r="A1159" s="137"/>
      <c r="B1159" s="137"/>
      <c r="C1159" s="137"/>
      <c r="D1159" s="137"/>
      <c r="E1159" s="137"/>
      <c r="F1159" s="137"/>
      <c r="G1159" s="137"/>
      <c r="H1159" s="137"/>
      <c r="I1159" s="137"/>
      <c r="J1159" s="137"/>
      <c r="K1159" s="137"/>
      <c r="L1159" s="137"/>
      <c r="M1159" s="137"/>
      <c r="N1159" s="137"/>
      <c r="O1159" s="137"/>
      <c r="P1159" s="137"/>
      <c r="Q1159" s="137"/>
      <c r="R1159" s="137"/>
      <c r="S1159" s="137"/>
      <c r="T1159" s="137"/>
      <c r="U1159" s="137"/>
      <c r="V1159" s="137"/>
      <c r="W1159" s="137"/>
    </row>
    <row r="1160" spans="1:23" x14ac:dyDescent="0.25">
      <c r="A1160" s="137"/>
      <c r="B1160" s="137"/>
      <c r="C1160" s="137"/>
      <c r="D1160" s="137"/>
      <c r="E1160" s="137"/>
      <c r="F1160" s="137"/>
      <c r="G1160" s="137"/>
      <c r="H1160" s="137"/>
      <c r="I1160" s="137"/>
      <c r="J1160" s="137"/>
      <c r="K1160" s="137"/>
      <c r="L1160" s="137"/>
      <c r="M1160" s="137"/>
      <c r="N1160" s="137"/>
      <c r="O1160" s="137"/>
      <c r="P1160" s="137"/>
      <c r="Q1160" s="137"/>
      <c r="R1160" s="137"/>
      <c r="S1160" s="137"/>
      <c r="T1160" s="137"/>
      <c r="U1160" s="137"/>
      <c r="V1160" s="137"/>
      <c r="W1160" s="137"/>
    </row>
    <row r="1161" spans="1:23" x14ac:dyDescent="0.25">
      <c r="A1161" s="137"/>
      <c r="B1161" s="137"/>
      <c r="C1161" s="137"/>
      <c r="D1161" s="137"/>
      <c r="E1161" s="137"/>
      <c r="F1161" s="137"/>
      <c r="G1161" s="137"/>
      <c r="H1161" s="137"/>
      <c r="I1161" s="137"/>
      <c r="J1161" s="137"/>
      <c r="K1161" s="137"/>
      <c r="L1161" s="137"/>
      <c r="M1161" s="137"/>
      <c r="N1161" s="137"/>
      <c r="O1161" s="137"/>
      <c r="P1161" s="137"/>
      <c r="Q1161" s="137"/>
      <c r="R1161" s="137"/>
      <c r="S1161" s="137"/>
      <c r="T1161" s="137"/>
      <c r="U1161" s="137"/>
      <c r="V1161" s="137"/>
      <c r="W1161" s="137"/>
    </row>
    <row r="1162" spans="1:23" x14ac:dyDescent="0.25">
      <c r="A1162" s="137"/>
      <c r="B1162" s="137"/>
      <c r="C1162" s="137"/>
      <c r="D1162" s="137"/>
      <c r="E1162" s="137"/>
      <c r="F1162" s="137"/>
      <c r="G1162" s="137"/>
      <c r="H1162" s="137"/>
      <c r="I1162" s="137"/>
      <c r="J1162" s="137"/>
      <c r="K1162" s="137"/>
      <c r="L1162" s="137"/>
      <c r="M1162" s="137"/>
      <c r="N1162" s="137"/>
      <c r="O1162" s="137"/>
      <c r="P1162" s="137"/>
      <c r="Q1162" s="137"/>
      <c r="R1162" s="137"/>
      <c r="S1162" s="137"/>
      <c r="T1162" s="137"/>
      <c r="U1162" s="137"/>
      <c r="V1162" s="137"/>
      <c r="W1162" s="137"/>
    </row>
    <row r="1163" spans="1:23" x14ac:dyDescent="0.25">
      <c r="A1163" s="137"/>
      <c r="B1163" s="137"/>
      <c r="C1163" s="137"/>
      <c r="D1163" s="137"/>
      <c r="E1163" s="137"/>
      <c r="F1163" s="137"/>
      <c r="G1163" s="137"/>
      <c r="H1163" s="137"/>
      <c r="I1163" s="137"/>
      <c r="J1163" s="137"/>
      <c r="K1163" s="137"/>
      <c r="L1163" s="137"/>
      <c r="M1163" s="137"/>
      <c r="N1163" s="137"/>
      <c r="O1163" s="137"/>
      <c r="P1163" s="137"/>
      <c r="Q1163" s="137"/>
      <c r="R1163" s="137"/>
      <c r="S1163" s="137"/>
      <c r="T1163" s="137"/>
      <c r="U1163" s="137"/>
      <c r="V1163" s="137"/>
      <c r="W1163" s="137"/>
    </row>
    <row r="1164" spans="1:23" x14ac:dyDescent="0.25">
      <c r="A1164" s="137"/>
      <c r="B1164" s="137"/>
      <c r="C1164" s="137"/>
      <c r="D1164" s="137"/>
      <c r="E1164" s="137"/>
      <c r="F1164" s="137"/>
      <c r="G1164" s="137"/>
      <c r="H1164" s="137"/>
      <c r="I1164" s="137"/>
      <c r="J1164" s="137"/>
      <c r="K1164" s="137"/>
      <c r="L1164" s="137"/>
      <c r="M1164" s="137"/>
      <c r="N1164" s="137"/>
      <c r="O1164" s="137"/>
      <c r="P1164" s="137"/>
      <c r="Q1164" s="137"/>
      <c r="R1164" s="137"/>
      <c r="S1164" s="137"/>
      <c r="T1164" s="137"/>
      <c r="U1164" s="137"/>
      <c r="V1164" s="137"/>
      <c r="W1164" s="137"/>
    </row>
    <row r="1165" spans="1:23" x14ac:dyDescent="0.25">
      <c r="A1165" s="137"/>
      <c r="B1165" s="137"/>
      <c r="C1165" s="137"/>
      <c r="D1165" s="137"/>
      <c r="E1165" s="137"/>
      <c r="F1165" s="137"/>
      <c r="G1165" s="137"/>
      <c r="H1165" s="137"/>
      <c r="I1165" s="137"/>
      <c r="J1165" s="137"/>
      <c r="K1165" s="137"/>
      <c r="L1165" s="137"/>
      <c r="M1165" s="137"/>
      <c r="N1165" s="137"/>
      <c r="O1165" s="137"/>
      <c r="P1165" s="137"/>
      <c r="Q1165" s="137"/>
      <c r="R1165" s="137"/>
      <c r="S1165" s="137"/>
      <c r="T1165" s="137"/>
      <c r="U1165" s="137"/>
      <c r="V1165" s="137"/>
      <c r="W1165" s="137"/>
    </row>
    <row r="1166" spans="1:23" x14ac:dyDescent="0.25">
      <c r="A1166" s="137"/>
      <c r="B1166" s="137"/>
      <c r="C1166" s="137"/>
      <c r="D1166" s="137"/>
      <c r="E1166" s="137"/>
      <c r="F1166" s="137"/>
      <c r="G1166" s="137"/>
      <c r="H1166" s="137"/>
      <c r="I1166" s="137"/>
      <c r="J1166" s="137"/>
      <c r="K1166" s="137"/>
      <c r="L1166" s="137"/>
      <c r="M1166" s="137"/>
      <c r="N1166" s="137"/>
      <c r="O1166" s="137"/>
      <c r="P1166" s="137"/>
      <c r="Q1166" s="137"/>
      <c r="R1166" s="137"/>
      <c r="S1166" s="137"/>
      <c r="T1166" s="137"/>
      <c r="U1166" s="137"/>
      <c r="V1166" s="137"/>
      <c r="W1166" s="137"/>
    </row>
    <row r="1167" spans="1:23" x14ac:dyDescent="0.25">
      <c r="A1167" s="137"/>
      <c r="B1167" s="137"/>
      <c r="C1167" s="137"/>
      <c r="D1167" s="137"/>
      <c r="E1167" s="137"/>
      <c r="F1167" s="137"/>
      <c r="G1167" s="137"/>
      <c r="H1167" s="137"/>
      <c r="I1167" s="137"/>
      <c r="J1167" s="137"/>
      <c r="K1167" s="137"/>
      <c r="L1167" s="137"/>
      <c r="M1167" s="137"/>
      <c r="N1167" s="137"/>
      <c r="O1167" s="137"/>
      <c r="P1167" s="137"/>
      <c r="Q1167" s="137"/>
      <c r="R1167" s="137"/>
      <c r="S1167" s="137"/>
      <c r="T1167" s="137"/>
      <c r="U1167" s="137"/>
      <c r="V1167" s="137"/>
      <c r="W1167" s="137"/>
    </row>
    <row r="1168" spans="1:23" x14ac:dyDescent="0.25">
      <c r="A1168" s="137"/>
      <c r="B1168" s="137"/>
      <c r="C1168" s="137"/>
      <c r="D1168" s="137"/>
      <c r="E1168" s="137"/>
      <c r="F1168" s="137"/>
      <c r="G1168" s="137"/>
      <c r="H1168" s="137"/>
      <c r="I1168" s="137"/>
      <c r="J1168" s="137"/>
      <c r="K1168" s="137"/>
      <c r="L1168" s="137"/>
      <c r="M1168" s="137"/>
      <c r="N1168" s="137"/>
      <c r="O1168" s="137"/>
      <c r="P1168" s="137"/>
      <c r="Q1168" s="137"/>
      <c r="R1168" s="137"/>
      <c r="S1168" s="137"/>
      <c r="T1168" s="137"/>
      <c r="U1168" s="137"/>
      <c r="V1168" s="137"/>
      <c r="W1168" s="137"/>
    </row>
    <row r="1169" spans="1:23" x14ac:dyDescent="0.25">
      <c r="A1169" s="137"/>
      <c r="B1169" s="137"/>
      <c r="C1169" s="137"/>
      <c r="D1169" s="137"/>
      <c r="E1169" s="137"/>
      <c r="F1169" s="137"/>
      <c r="G1169" s="137"/>
      <c r="H1169" s="137"/>
      <c r="I1169" s="137"/>
      <c r="J1169" s="137"/>
      <c r="K1169" s="137"/>
      <c r="L1169" s="137"/>
      <c r="M1169" s="137"/>
      <c r="N1169" s="137"/>
      <c r="O1169" s="137"/>
      <c r="P1169" s="137"/>
      <c r="Q1169" s="137"/>
      <c r="R1169" s="137"/>
      <c r="S1169" s="137"/>
      <c r="T1169" s="137"/>
      <c r="U1169" s="137"/>
      <c r="V1169" s="137"/>
      <c r="W1169" s="137"/>
    </row>
    <row r="1170" spans="1:23" x14ac:dyDescent="0.25">
      <c r="A1170" s="137"/>
      <c r="B1170" s="137"/>
      <c r="C1170" s="137"/>
      <c r="D1170" s="137"/>
      <c r="E1170" s="137"/>
      <c r="F1170" s="137"/>
      <c r="G1170" s="137"/>
      <c r="H1170" s="137"/>
      <c r="I1170" s="137"/>
      <c r="J1170" s="137"/>
      <c r="K1170" s="137"/>
      <c r="L1170" s="137"/>
      <c r="M1170" s="137"/>
      <c r="N1170" s="137"/>
      <c r="O1170" s="137"/>
      <c r="P1170" s="137"/>
      <c r="Q1170" s="137"/>
      <c r="R1170" s="137"/>
      <c r="S1170" s="137"/>
      <c r="T1170" s="137"/>
      <c r="U1170" s="137"/>
      <c r="V1170" s="137"/>
      <c r="W1170" s="137"/>
    </row>
    <row r="1171" spans="1:23" x14ac:dyDescent="0.25">
      <c r="A1171" s="137"/>
      <c r="B1171" s="137"/>
      <c r="C1171" s="137"/>
      <c r="D1171" s="137"/>
      <c r="E1171" s="137"/>
      <c r="F1171" s="137"/>
      <c r="G1171" s="137"/>
      <c r="H1171" s="137"/>
      <c r="I1171" s="137"/>
      <c r="J1171" s="137"/>
      <c r="K1171" s="137"/>
      <c r="L1171" s="137"/>
      <c r="M1171" s="137"/>
      <c r="N1171" s="137"/>
      <c r="O1171" s="137"/>
      <c r="P1171" s="137"/>
      <c r="Q1171" s="137"/>
      <c r="R1171" s="137"/>
      <c r="S1171" s="137"/>
      <c r="T1171" s="137"/>
      <c r="U1171" s="137"/>
      <c r="V1171" s="137"/>
      <c r="W1171" s="137"/>
    </row>
    <row r="1172" spans="1:23" x14ac:dyDescent="0.25">
      <c r="A1172" s="137"/>
      <c r="B1172" s="137"/>
      <c r="C1172" s="137"/>
      <c r="D1172" s="137"/>
      <c r="E1172" s="137"/>
      <c r="F1172" s="137"/>
      <c r="G1172" s="137"/>
      <c r="H1172" s="137"/>
      <c r="I1172" s="137"/>
      <c r="J1172" s="137"/>
      <c r="K1172" s="137"/>
      <c r="L1172" s="137"/>
      <c r="M1172" s="137"/>
      <c r="N1172" s="137"/>
      <c r="O1172" s="137"/>
      <c r="P1172" s="137"/>
      <c r="Q1172" s="137"/>
      <c r="R1172" s="137"/>
      <c r="S1172" s="137"/>
      <c r="T1172" s="137"/>
      <c r="U1172" s="137"/>
      <c r="V1172" s="137"/>
      <c r="W1172" s="137"/>
    </row>
    <row r="1173" spans="1:23" x14ac:dyDescent="0.25">
      <c r="A1173" s="137"/>
      <c r="B1173" s="137"/>
      <c r="C1173" s="137"/>
      <c r="D1173" s="137"/>
      <c r="E1173" s="137"/>
      <c r="F1173" s="137"/>
      <c r="G1173" s="137"/>
      <c r="H1173" s="137"/>
      <c r="I1173" s="137"/>
      <c r="J1173" s="137"/>
      <c r="K1173" s="137"/>
      <c r="L1173" s="137"/>
      <c r="M1173" s="137"/>
      <c r="N1173" s="137"/>
      <c r="O1173" s="137"/>
      <c r="P1173" s="137"/>
      <c r="Q1173" s="137"/>
      <c r="R1173" s="137"/>
      <c r="S1173" s="137"/>
      <c r="T1173" s="137"/>
      <c r="U1173" s="137"/>
      <c r="V1173" s="137"/>
      <c r="W1173" s="137"/>
    </row>
    <row r="1174" spans="1:23" x14ac:dyDescent="0.25">
      <c r="A1174" s="137"/>
      <c r="B1174" s="137"/>
      <c r="C1174" s="137"/>
      <c r="D1174" s="137"/>
      <c r="E1174" s="137"/>
      <c r="F1174" s="137"/>
      <c r="G1174" s="137"/>
      <c r="H1174" s="137"/>
      <c r="I1174" s="137"/>
      <c r="J1174" s="137"/>
      <c r="K1174" s="137"/>
      <c r="L1174" s="137"/>
      <c r="M1174" s="137"/>
      <c r="N1174" s="137"/>
      <c r="O1174" s="137"/>
      <c r="P1174" s="137"/>
      <c r="Q1174" s="137"/>
      <c r="R1174" s="137"/>
      <c r="S1174" s="137"/>
      <c r="T1174" s="137"/>
      <c r="U1174" s="137"/>
      <c r="V1174" s="137"/>
      <c r="W1174" s="137"/>
    </row>
    <row r="1175" spans="1:23" x14ac:dyDescent="0.25">
      <c r="A1175" s="137"/>
      <c r="B1175" s="137"/>
      <c r="C1175" s="137"/>
      <c r="D1175" s="137"/>
      <c r="E1175" s="137"/>
      <c r="F1175" s="137"/>
      <c r="G1175" s="137"/>
      <c r="H1175" s="137"/>
      <c r="I1175" s="137"/>
      <c r="J1175" s="137"/>
      <c r="K1175" s="137"/>
      <c r="L1175" s="137"/>
      <c r="M1175" s="137"/>
      <c r="N1175" s="137"/>
      <c r="O1175" s="137"/>
      <c r="P1175" s="137"/>
      <c r="Q1175" s="137"/>
      <c r="R1175" s="137"/>
      <c r="S1175" s="137"/>
      <c r="T1175" s="137"/>
      <c r="U1175" s="137"/>
      <c r="V1175" s="137"/>
      <c r="W1175" s="137"/>
    </row>
    <row r="1176" spans="1:23" x14ac:dyDescent="0.25">
      <c r="A1176" s="137"/>
      <c r="B1176" s="137"/>
      <c r="C1176" s="137"/>
      <c r="D1176" s="137"/>
      <c r="E1176" s="137"/>
      <c r="F1176" s="137"/>
      <c r="G1176" s="137"/>
      <c r="H1176" s="137"/>
      <c r="I1176" s="137"/>
      <c r="J1176" s="137"/>
      <c r="K1176" s="137"/>
      <c r="L1176" s="137"/>
      <c r="M1176" s="137"/>
      <c r="N1176" s="137"/>
      <c r="O1176" s="137"/>
      <c r="P1176" s="137"/>
      <c r="Q1176" s="137"/>
      <c r="R1176" s="137"/>
      <c r="S1176" s="137"/>
      <c r="T1176" s="137"/>
      <c r="U1176" s="137"/>
      <c r="V1176" s="137"/>
      <c r="W1176" s="137"/>
    </row>
    <row r="1177" spans="1:23" x14ac:dyDescent="0.25">
      <c r="A1177" s="137"/>
      <c r="B1177" s="137"/>
      <c r="C1177" s="137"/>
      <c r="D1177" s="137"/>
      <c r="E1177" s="137"/>
      <c r="F1177" s="137"/>
      <c r="G1177" s="137"/>
      <c r="H1177" s="137"/>
      <c r="I1177" s="137"/>
      <c r="J1177" s="137"/>
      <c r="K1177" s="137"/>
      <c r="L1177" s="137"/>
      <c r="M1177" s="137"/>
      <c r="N1177" s="137"/>
      <c r="O1177" s="137"/>
      <c r="P1177" s="137"/>
      <c r="Q1177" s="137"/>
      <c r="R1177" s="137"/>
      <c r="S1177" s="137"/>
      <c r="T1177" s="137"/>
      <c r="U1177" s="137"/>
      <c r="V1177" s="137"/>
      <c r="W1177" s="137"/>
    </row>
    <row r="1178" spans="1:23" x14ac:dyDescent="0.25">
      <c r="A1178" s="137"/>
      <c r="B1178" s="137"/>
      <c r="C1178" s="137"/>
      <c r="D1178" s="137"/>
      <c r="E1178" s="137"/>
      <c r="F1178" s="137"/>
      <c r="G1178" s="137"/>
      <c r="H1178" s="137"/>
      <c r="I1178" s="137"/>
      <c r="J1178" s="137"/>
      <c r="K1178" s="137"/>
      <c r="L1178" s="137"/>
      <c r="M1178" s="137"/>
      <c r="N1178" s="137"/>
      <c r="O1178" s="137"/>
      <c r="P1178" s="137"/>
      <c r="Q1178" s="137"/>
      <c r="R1178" s="137"/>
      <c r="S1178" s="137"/>
      <c r="T1178" s="137"/>
      <c r="U1178" s="137"/>
      <c r="V1178" s="137"/>
      <c r="W1178" s="137"/>
    </row>
    <row r="1179" spans="1:23" x14ac:dyDescent="0.25">
      <c r="A1179" s="137"/>
      <c r="B1179" s="137"/>
      <c r="C1179" s="137"/>
      <c r="D1179" s="137"/>
      <c r="E1179" s="137"/>
      <c r="F1179" s="137"/>
      <c r="G1179" s="137"/>
      <c r="H1179" s="137"/>
      <c r="I1179" s="137"/>
      <c r="J1179" s="137"/>
      <c r="K1179" s="137"/>
      <c r="L1179" s="137"/>
      <c r="M1179" s="137"/>
      <c r="N1179" s="137"/>
      <c r="O1179" s="137"/>
      <c r="P1179" s="137"/>
      <c r="Q1179" s="137"/>
      <c r="R1179" s="137"/>
      <c r="S1179" s="137"/>
      <c r="T1179" s="137"/>
      <c r="U1179" s="137"/>
      <c r="V1179" s="137"/>
      <c r="W1179" s="137"/>
    </row>
    <row r="1180" spans="1:23" x14ac:dyDescent="0.25">
      <c r="A1180" s="137"/>
      <c r="B1180" s="137"/>
      <c r="C1180" s="137"/>
      <c r="D1180" s="137"/>
      <c r="E1180" s="137"/>
      <c r="F1180" s="137"/>
      <c r="G1180" s="137"/>
      <c r="H1180" s="137"/>
      <c r="I1180" s="137"/>
      <c r="J1180" s="137"/>
      <c r="K1180" s="137"/>
      <c r="L1180" s="137"/>
      <c r="M1180" s="137"/>
      <c r="N1180" s="137"/>
      <c r="O1180" s="137"/>
      <c r="P1180" s="137"/>
      <c r="Q1180" s="137"/>
      <c r="R1180" s="137"/>
      <c r="S1180" s="137"/>
      <c r="T1180" s="137"/>
      <c r="U1180" s="137"/>
      <c r="V1180" s="137"/>
      <c r="W1180" s="137"/>
    </row>
    <row r="1181" spans="1:23" x14ac:dyDescent="0.25">
      <c r="A1181" s="137"/>
      <c r="B1181" s="137"/>
      <c r="C1181" s="137"/>
      <c r="D1181" s="137"/>
      <c r="E1181" s="137"/>
      <c r="F1181" s="137"/>
      <c r="G1181" s="137"/>
      <c r="H1181" s="137"/>
      <c r="I1181" s="137"/>
      <c r="J1181" s="137"/>
      <c r="K1181" s="137"/>
      <c r="L1181" s="137"/>
      <c r="M1181" s="137"/>
      <c r="N1181" s="137"/>
      <c r="O1181" s="137"/>
      <c r="P1181" s="137"/>
      <c r="Q1181" s="137"/>
      <c r="R1181" s="137"/>
      <c r="S1181" s="137"/>
      <c r="T1181" s="137"/>
      <c r="U1181" s="137"/>
      <c r="V1181" s="137"/>
      <c r="W1181" s="137"/>
    </row>
    <row r="1182" spans="1:23" x14ac:dyDescent="0.25">
      <c r="A1182" s="137"/>
      <c r="B1182" s="137"/>
      <c r="C1182" s="137"/>
      <c r="D1182" s="137"/>
      <c r="E1182" s="137"/>
      <c r="F1182" s="137"/>
      <c r="G1182" s="137"/>
      <c r="H1182" s="137"/>
      <c r="I1182" s="137"/>
      <c r="J1182" s="137"/>
      <c r="K1182" s="137"/>
      <c r="L1182" s="137"/>
      <c r="M1182" s="137"/>
      <c r="N1182" s="137"/>
      <c r="O1182" s="137"/>
      <c r="P1182" s="137"/>
      <c r="Q1182" s="137"/>
      <c r="R1182" s="137"/>
      <c r="S1182" s="137"/>
      <c r="T1182" s="137"/>
      <c r="U1182" s="137"/>
      <c r="V1182" s="137"/>
      <c r="W1182" s="137"/>
    </row>
    <row r="1183" spans="1:23" x14ac:dyDescent="0.25">
      <c r="A1183" s="137"/>
      <c r="B1183" s="137"/>
      <c r="C1183" s="137"/>
      <c r="D1183" s="137"/>
      <c r="E1183" s="137"/>
      <c r="F1183" s="137"/>
      <c r="G1183" s="137"/>
      <c r="H1183" s="137"/>
      <c r="I1183" s="137"/>
      <c r="J1183" s="137"/>
      <c r="K1183" s="137"/>
      <c r="L1183" s="137"/>
      <c r="M1183" s="137"/>
      <c r="N1183" s="137"/>
      <c r="O1183" s="137"/>
      <c r="P1183" s="137"/>
      <c r="Q1183" s="137"/>
      <c r="R1183" s="137"/>
      <c r="S1183" s="137"/>
      <c r="T1183" s="137"/>
      <c r="U1183" s="137"/>
      <c r="V1183" s="137"/>
      <c r="W1183" s="137"/>
    </row>
    <row r="1184" spans="1:23" x14ac:dyDescent="0.25">
      <c r="A1184" s="137"/>
      <c r="B1184" s="137"/>
      <c r="C1184" s="137"/>
      <c r="D1184" s="137"/>
      <c r="E1184" s="137"/>
      <c r="F1184" s="137"/>
      <c r="G1184" s="137"/>
      <c r="H1184" s="137"/>
      <c r="I1184" s="137"/>
      <c r="J1184" s="137"/>
      <c r="K1184" s="137"/>
      <c r="L1184" s="137"/>
      <c r="M1184" s="137"/>
      <c r="N1184" s="137"/>
      <c r="O1184" s="137"/>
      <c r="P1184" s="137"/>
      <c r="Q1184" s="137"/>
      <c r="R1184" s="137"/>
      <c r="S1184" s="137"/>
      <c r="T1184" s="137"/>
      <c r="U1184" s="137"/>
      <c r="V1184" s="137"/>
      <c r="W1184" s="137"/>
    </row>
    <row r="1185" spans="1:23" x14ac:dyDescent="0.25">
      <c r="A1185" s="137"/>
      <c r="B1185" s="137"/>
      <c r="C1185" s="137"/>
      <c r="D1185" s="137"/>
      <c r="E1185" s="137"/>
      <c r="F1185" s="137"/>
      <c r="G1185" s="137"/>
      <c r="H1185" s="137"/>
      <c r="I1185" s="137"/>
      <c r="J1185" s="137"/>
      <c r="K1185" s="137"/>
      <c r="L1185" s="137"/>
      <c r="M1185" s="137"/>
      <c r="N1185" s="137"/>
      <c r="O1185" s="137"/>
      <c r="P1185" s="137"/>
      <c r="Q1185" s="137"/>
      <c r="R1185" s="137"/>
      <c r="S1185" s="137"/>
      <c r="T1185" s="137"/>
      <c r="U1185" s="137"/>
      <c r="V1185" s="137"/>
      <c r="W1185" s="137"/>
    </row>
    <row r="1186" spans="1:23" x14ac:dyDescent="0.25">
      <c r="A1186" s="137"/>
      <c r="B1186" s="137"/>
      <c r="C1186" s="137"/>
      <c r="D1186" s="137"/>
      <c r="E1186" s="137"/>
      <c r="F1186" s="137"/>
      <c r="G1186" s="137"/>
      <c r="H1186" s="137"/>
      <c r="I1186" s="137"/>
      <c r="J1186" s="137"/>
      <c r="K1186" s="137"/>
      <c r="L1186" s="137"/>
      <c r="M1186" s="137"/>
      <c r="N1186" s="137"/>
      <c r="O1186" s="137"/>
      <c r="P1186" s="137"/>
      <c r="Q1186" s="137"/>
      <c r="R1186" s="137"/>
      <c r="S1186" s="137"/>
      <c r="T1186" s="137"/>
      <c r="U1186" s="137"/>
      <c r="V1186" s="137"/>
      <c r="W1186" s="137"/>
    </row>
    <row r="1187" spans="1:23" x14ac:dyDescent="0.25">
      <c r="A1187" s="137"/>
      <c r="B1187" s="137"/>
      <c r="C1187" s="137"/>
      <c r="D1187" s="137"/>
      <c r="E1187" s="137"/>
      <c r="F1187" s="137"/>
      <c r="G1187" s="137"/>
      <c r="H1187" s="137"/>
      <c r="I1187" s="137"/>
      <c r="J1187" s="137"/>
      <c r="K1187" s="137"/>
      <c r="L1187" s="137"/>
      <c r="M1187" s="137"/>
      <c r="N1187" s="137"/>
      <c r="O1187" s="137"/>
      <c r="P1187" s="137"/>
      <c r="Q1187" s="137"/>
      <c r="R1187" s="137"/>
      <c r="S1187" s="137"/>
      <c r="T1187" s="137"/>
      <c r="U1187" s="137"/>
      <c r="V1187" s="137"/>
      <c r="W1187" s="137"/>
    </row>
    <row r="1188" spans="1:23" x14ac:dyDescent="0.25">
      <c r="A1188" s="137"/>
      <c r="B1188" s="137"/>
      <c r="C1188" s="137"/>
      <c r="D1188" s="137"/>
      <c r="E1188" s="137"/>
      <c r="F1188" s="137"/>
      <c r="G1188" s="137"/>
      <c r="H1188" s="137"/>
      <c r="I1188" s="137"/>
      <c r="J1188" s="137"/>
      <c r="K1188" s="137"/>
      <c r="L1188" s="137"/>
      <c r="M1188" s="137"/>
      <c r="N1188" s="137"/>
      <c r="O1188" s="137"/>
      <c r="P1188" s="137"/>
      <c r="Q1188" s="137"/>
      <c r="R1188" s="137"/>
      <c r="S1188" s="137"/>
      <c r="T1188" s="137"/>
      <c r="U1188" s="137"/>
      <c r="V1188" s="137"/>
      <c r="W1188" s="137"/>
    </row>
    <row r="1189" spans="1:23" x14ac:dyDescent="0.25">
      <c r="A1189" s="137"/>
      <c r="B1189" s="137"/>
      <c r="C1189" s="137"/>
      <c r="D1189" s="137"/>
      <c r="E1189" s="137"/>
      <c r="F1189" s="137"/>
      <c r="G1189" s="137"/>
      <c r="H1189" s="137"/>
      <c r="I1189" s="137"/>
      <c r="J1189" s="137"/>
      <c r="K1189" s="137"/>
      <c r="L1189" s="137"/>
      <c r="M1189" s="137"/>
      <c r="N1189" s="137"/>
      <c r="O1189" s="137"/>
      <c r="P1189" s="137"/>
      <c r="Q1189" s="137"/>
      <c r="R1189" s="137"/>
      <c r="S1189" s="137"/>
      <c r="T1189" s="137"/>
      <c r="U1189" s="137"/>
      <c r="V1189" s="137"/>
      <c r="W1189" s="137"/>
    </row>
    <row r="1190" spans="1:23" x14ac:dyDescent="0.25">
      <c r="A1190" s="137"/>
      <c r="B1190" s="137"/>
      <c r="C1190" s="137"/>
      <c r="D1190" s="137"/>
      <c r="E1190" s="137"/>
      <c r="F1190" s="137"/>
      <c r="G1190" s="137"/>
      <c r="H1190" s="137"/>
      <c r="I1190" s="137"/>
      <c r="J1190" s="137"/>
      <c r="K1190" s="137"/>
      <c r="L1190" s="137"/>
      <c r="M1190" s="137"/>
      <c r="N1190" s="137"/>
      <c r="O1190" s="137"/>
      <c r="P1190" s="137"/>
      <c r="Q1190" s="137"/>
      <c r="R1190" s="137"/>
      <c r="S1190" s="137"/>
      <c r="T1190" s="137"/>
      <c r="U1190" s="137"/>
      <c r="V1190" s="137"/>
      <c r="W1190" s="137"/>
    </row>
    <row r="1191" spans="1:23" x14ac:dyDescent="0.25">
      <c r="A1191" s="137"/>
      <c r="B1191" s="137"/>
      <c r="C1191" s="137"/>
      <c r="D1191" s="137"/>
      <c r="E1191" s="137"/>
      <c r="F1191" s="137"/>
      <c r="G1191" s="137"/>
      <c r="H1191" s="137"/>
      <c r="I1191" s="137"/>
      <c r="J1191" s="137"/>
      <c r="K1191" s="137"/>
      <c r="L1191" s="137"/>
      <c r="M1191" s="137"/>
      <c r="N1191" s="137"/>
      <c r="O1191" s="137"/>
      <c r="P1191" s="137"/>
      <c r="Q1191" s="137"/>
      <c r="R1191" s="137"/>
      <c r="S1191" s="137"/>
      <c r="T1191" s="137"/>
      <c r="U1191" s="137"/>
      <c r="V1191" s="137"/>
      <c r="W1191" s="137"/>
    </row>
    <row r="1192" spans="1:23" x14ac:dyDescent="0.25">
      <c r="A1192" s="137"/>
      <c r="B1192" s="137"/>
      <c r="C1192" s="137"/>
      <c r="D1192" s="137"/>
      <c r="E1192" s="137"/>
      <c r="F1192" s="137"/>
      <c r="G1192" s="137"/>
      <c r="H1192" s="137"/>
      <c r="I1192" s="137"/>
      <c r="J1192" s="137"/>
      <c r="K1192" s="137"/>
      <c r="L1192" s="137"/>
      <c r="M1192" s="137"/>
      <c r="N1192" s="137"/>
      <c r="O1192" s="137"/>
      <c r="P1192" s="137"/>
      <c r="Q1192" s="137"/>
      <c r="R1192" s="137"/>
      <c r="S1192" s="137"/>
      <c r="T1192" s="137"/>
      <c r="U1192" s="137"/>
      <c r="V1192" s="137"/>
      <c r="W1192" s="137"/>
    </row>
    <row r="1193" spans="1:23" x14ac:dyDescent="0.25">
      <c r="A1193" s="137"/>
      <c r="B1193" s="137"/>
      <c r="C1193" s="137"/>
      <c r="D1193" s="137"/>
      <c r="E1193" s="137"/>
      <c r="F1193" s="137"/>
      <c r="G1193" s="137"/>
      <c r="H1193" s="137"/>
      <c r="I1193" s="137"/>
      <c r="J1193" s="137"/>
      <c r="K1193" s="137"/>
      <c r="L1193" s="137"/>
      <c r="M1193" s="137"/>
      <c r="N1193" s="137"/>
      <c r="O1193" s="137"/>
      <c r="P1193" s="137"/>
      <c r="Q1193" s="137"/>
      <c r="R1193" s="137"/>
      <c r="S1193" s="137"/>
      <c r="T1193" s="137"/>
      <c r="U1193" s="137"/>
      <c r="V1193" s="137"/>
      <c r="W1193" s="137"/>
    </row>
    <row r="1194" spans="1:23" x14ac:dyDescent="0.25">
      <c r="A1194" s="137"/>
      <c r="B1194" s="137"/>
      <c r="C1194" s="137"/>
      <c r="D1194" s="137"/>
      <c r="E1194" s="137"/>
      <c r="F1194" s="137"/>
      <c r="G1194" s="137"/>
      <c r="H1194" s="137"/>
      <c r="I1194" s="137"/>
      <c r="J1194" s="137"/>
      <c r="K1194" s="137"/>
      <c r="L1194" s="137"/>
      <c r="M1194" s="137"/>
      <c r="N1194" s="137"/>
      <c r="O1194" s="137"/>
      <c r="P1194" s="137"/>
      <c r="Q1194" s="137"/>
      <c r="R1194" s="137"/>
      <c r="S1194" s="137"/>
      <c r="T1194" s="137"/>
      <c r="U1194" s="137"/>
      <c r="V1194" s="137"/>
      <c r="W1194" s="137"/>
    </row>
    <row r="1195" spans="1:23" x14ac:dyDescent="0.25">
      <c r="A1195" s="137"/>
      <c r="B1195" s="137"/>
      <c r="C1195" s="137"/>
      <c r="D1195" s="137"/>
      <c r="E1195" s="137"/>
      <c r="F1195" s="137"/>
      <c r="G1195" s="137"/>
      <c r="H1195" s="137"/>
      <c r="I1195" s="137"/>
      <c r="J1195" s="137"/>
      <c r="K1195" s="137"/>
      <c r="L1195" s="137"/>
      <c r="M1195" s="137"/>
      <c r="N1195" s="137"/>
      <c r="O1195" s="137"/>
      <c r="P1195" s="137"/>
      <c r="Q1195" s="137"/>
      <c r="R1195" s="137"/>
      <c r="S1195" s="137"/>
      <c r="T1195" s="137"/>
      <c r="U1195" s="137"/>
      <c r="V1195" s="137"/>
      <c r="W1195" s="137"/>
    </row>
    <row r="1196" spans="1:23" x14ac:dyDescent="0.25">
      <c r="A1196" s="137"/>
      <c r="B1196" s="137"/>
      <c r="C1196" s="137"/>
      <c r="D1196" s="137"/>
      <c r="E1196" s="137"/>
      <c r="F1196" s="137"/>
      <c r="G1196" s="137"/>
      <c r="H1196" s="137"/>
      <c r="I1196" s="137"/>
      <c r="J1196" s="137"/>
      <c r="K1196" s="137"/>
      <c r="L1196" s="137"/>
      <c r="M1196" s="137"/>
      <c r="N1196" s="137"/>
      <c r="O1196" s="137"/>
      <c r="P1196" s="137"/>
      <c r="Q1196" s="137"/>
      <c r="R1196" s="137"/>
      <c r="S1196" s="137"/>
      <c r="T1196" s="137"/>
      <c r="U1196" s="137"/>
      <c r="V1196" s="137"/>
      <c r="W1196" s="137"/>
    </row>
    <row r="1197" spans="1:23" x14ac:dyDescent="0.25">
      <c r="A1197" s="137"/>
      <c r="B1197" s="137"/>
      <c r="C1197" s="137"/>
      <c r="D1197" s="137"/>
      <c r="E1197" s="137"/>
      <c r="F1197" s="137"/>
      <c r="G1197" s="137"/>
      <c r="H1197" s="137"/>
      <c r="I1197" s="137"/>
      <c r="J1197" s="137"/>
      <c r="K1197" s="137"/>
      <c r="L1197" s="137"/>
      <c r="M1197" s="137"/>
      <c r="N1197" s="137"/>
      <c r="O1197" s="137"/>
      <c r="P1197" s="137"/>
      <c r="Q1197" s="137"/>
      <c r="R1197" s="137"/>
      <c r="S1197" s="137"/>
      <c r="T1197" s="137"/>
      <c r="U1197" s="137"/>
      <c r="V1197" s="137"/>
      <c r="W1197" s="137"/>
    </row>
    <row r="1198" spans="1:23" x14ac:dyDescent="0.25">
      <c r="A1198" s="137"/>
      <c r="B1198" s="137"/>
      <c r="C1198" s="137"/>
      <c r="D1198" s="137"/>
      <c r="E1198" s="137"/>
      <c r="F1198" s="137"/>
      <c r="G1198" s="137"/>
      <c r="H1198" s="137"/>
      <c r="I1198" s="137"/>
      <c r="J1198" s="137"/>
      <c r="K1198" s="137"/>
      <c r="L1198" s="137"/>
      <c r="M1198" s="137"/>
      <c r="N1198" s="137"/>
      <c r="O1198" s="137"/>
      <c r="P1198" s="137"/>
      <c r="Q1198" s="137"/>
      <c r="R1198" s="137"/>
      <c r="S1198" s="137"/>
      <c r="T1198" s="137"/>
      <c r="U1198" s="137"/>
      <c r="V1198" s="137"/>
      <c r="W1198" s="137"/>
    </row>
    <row r="1199" spans="1:23" x14ac:dyDescent="0.25">
      <c r="A1199" s="137"/>
      <c r="B1199" s="137"/>
      <c r="C1199" s="137"/>
      <c r="D1199" s="137"/>
      <c r="E1199" s="137"/>
      <c r="F1199" s="137"/>
      <c r="G1199" s="137"/>
      <c r="H1199" s="137"/>
      <c r="I1199" s="137"/>
      <c r="J1199" s="137"/>
      <c r="K1199" s="137"/>
      <c r="L1199" s="137"/>
      <c r="M1199" s="137"/>
      <c r="N1199" s="137"/>
      <c r="O1199" s="137"/>
      <c r="P1199" s="137"/>
      <c r="Q1199" s="137"/>
      <c r="R1199" s="137"/>
      <c r="S1199" s="137"/>
      <c r="T1199" s="137"/>
      <c r="U1199" s="137"/>
      <c r="V1199" s="137"/>
      <c r="W1199" s="137"/>
    </row>
    <row r="1200" spans="1:23" x14ac:dyDescent="0.25">
      <c r="A1200" s="137"/>
      <c r="B1200" s="137"/>
      <c r="C1200" s="137"/>
      <c r="D1200" s="137"/>
      <c r="E1200" s="137"/>
      <c r="F1200" s="137"/>
      <c r="G1200" s="137"/>
      <c r="H1200" s="137"/>
      <c r="I1200" s="137"/>
      <c r="J1200" s="137"/>
      <c r="K1200" s="137"/>
      <c r="L1200" s="137"/>
      <c r="M1200" s="137"/>
      <c r="N1200" s="137"/>
      <c r="O1200" s="137"/>
      <c r="P1200" s="137"/>
      <c r="Q1200" s="137"/>
      <c r="R1200" s="137"/>
      <c r="S1200" s="137"/>
      <c r="T1200" s="137"/>
      <c r="U1200" s="137"/>
      <c r="V1200" s="137"/>
      <c r="W1200" s="137"/>
    </row>
    <row r="1201" spans="1:23" x14ac:dyDescent="0.25">
      <c r="A1201" s="137"/>
      <c r="B1201" s="137"/>
      <c r="C1201" s="137"/>
      <c r="D1201" s="137"/>
      <c r="E1201" s="137"/>
      <c r="F1201" s="137"/>
      <c r="G1201" s="137"/>
      <c r="H1201" s="137"/>
      <c r="I1201" s="137"/>
      <c r="J1201" s="137"/>
      <c r="K1201" s="137"/>
      <c r="L1201" s="137"/>
      <c r="M1201" s="137"/>
      <c r="N1201" s="137"/>
      <c r="O1201" s="137"/>
      <c r="P1201" s="137"/>
      <c r="Q1201" s="137"/>
      <c r="R1201" s="137"/>
      <c r="S1201" s="137"/>
      <c r="T1201" s="137"/>
      <c r="U1201" s="137"/>
      <c r="V1201" s="137"/>
      <c r="W1201" s="137"/>
    </row>
    <row r="1202" spans="1:23" x14ac:dyDescent="0.25">
      <c r="A1202" s="137"/>
      <c r="B1202" s="137"/>
      <c r="C1202" s="137"/>
      <c r="D1202" s="137"/>
      <c r="E1202" s="137"/>
      <c r="F1202" s="137"/>
      <c r="G1202" s="137"/>
      <c r="H1202" s="137"/>
      <c r="I1202" s="137"/>
      <c r="J1202" s="137"/>
      <c r="K1202" s="137"/>
      <c r="L1202" s="137"/>
      <c r="M1202" s="137"/>
      <c r="N1202" s="137"/>
      <c r="O1202" s="137"/>
      <c r="P1202" s="137"/>
      <c r="Q1202" s="137"/>
      <c r="R1202" s="137"/>
      <c r="S1202" s="137"/>
      <c r="T1202" s="137"/>
      <c r="U1202" s="137"/>
      <c r="V1202" s="137"/>
      <c r="W1202" s="137"/>
    </row>
    <row r="1203" spans="1:23" x14ac:dyDescent="0.25">
      <c r="A1203" s="137"/>
      <c r="B1203" s="137"/>
      <c r="C1203" s="137"/>
      <c r="D1203" s="137"/>
      <c r="E1203" s="137"/>
      <c r="F1203" s="137"/>
      <c r="G1203" s="137"/>
      <c r="H1203" s="137"/>
      <c r="I1203" s="137"/>
      <c r="J1203" s="137"/>
      <c r="K1203" s="137"/>
      <c r="L1203" s="137"/>
      <c r="M1203" s="137"/>
      <c r="N1203" s="137"/>
      <c r="O1203" s="137"/>
      <c r="P1203" s="137"/>
      <c r="Q1203" s="137"/>
      <c r="R1203" s="137"/>
      <c r="S1203" s="137"/>
      <c r="T1203" s="137"/>
      <c r="U1203" s="137"/>
      <c r="V1203" s="137"/>
      <c r="W1203" s="137"/>
    </row>
    <row r="1204" spans="1:23" x14ac:dyDescent="0.25">
      <c r="A1204" s="137"/>
      <c r="B1204" s="137"/>
      <c r="C1204" s="137"/>
      <c r="D1204" s="137"/>
      <c r="E1204" s="137"/>
      <c r="F1204" s="137"/>
      <c r="G1204" s="137"/>
      <c r="H1204" s="137"/>
      <c r="I1204" s="137"/>
      <c r="J1204" s="137"/>
      <c r="K1204" s="137"/>
      <c r="L1204" s="137"/>
      <c r="M1204" s="137"/>
      <c r="N1204" s="137"/>
      <c r="O1204" s="137"/>
      <c r="P1204" s="137"/>
      <c r="Q1204" s="137"/>
      <c r="R1204" s="137"/>
      <c r="S1204" s="137"/>
      <c r="T1204" s="137"/>
      <c r="U1204" s="137"/>
      <c r="V1204" s="137"/>
      <c r="W1204" s="137"/>
    </row>
    <row r="1205" spans="1:23" x14ac:dyDescent="0.25">
      <c r="A1205" s="137"/>
      <c r="B1205" s="137"/>
      <c r="C1205" s="137"/>
      <c r="D1205" s="137"/>
      <c r="E1205" s="137"/>
      <c r="F1205" s="137"/>
      <c r="G1205" s="137"/>
      <c r="H1205" s="137"/>
      <c r="I1205" s="137"/>
      <c r="J1205" s="137"/>
      <c r="K1205" s="137"/>
      <c r="L1205" s="137"/>
      <c r="M1205" s="137"/>
      <c r="N1205" s="137"/>
      <c r="O1205" s="137"/>
      <c r="P1205" s="137"/>
      <c r="Q1205" s="137"/>
      <c r="R1205" s="137"/>
      <c r="S1205" s="137"/>
      <c r="T1205" s="137"/>
      <c r="U1205" s="137"/>
      <c r="V1205" s="137"/>
      <c r="W1205" s="137"/>
    </row>
    <row r="1206" spans="1:23" x14ac:dyDescent="0.25">
      <c r="A1206" s="137"/>
      <c r="B1206" s="137"/>
      <c r="C1206" s="137"/>
      <c r="D1206" s="137"/>
      <c r="E1206" s="137"/>
      <c r="F1206" s="137"/>
      <c r="G1206" s="137"/>
      <c r="H1206" s="137"/>
      <c r="I1206" s="137"/>
      <c r="J1206" s="137"/>
      <c r="K1206" s="137"/>
      <c r="L1206" s="137"/>
      <c r="M1206" s="137"/>
      <c r="N1206" s="137"/>
      <c r="O1206" s="137"/>
      <c r="P1206" s="137"/>
      <c r="Q1206" s="137"/>
      <c r="R1206" s="137"/>
      <c r="S1206" s="137"/>
      <c r="T1206" s="137"/>
      <c r="U1206" s="137"/>
      <c r="V1206" s="137"/>
      <c r="W1206" s="137"/>
    </row>
    <row r="1207" spans="1:23" x14ac:dyDescent="0.25">
      <c r="A1207" s="137"/>
      <c r="B1207" s="137"/>
      <c r="C1207" s="137"/>
      <c r="D1207" s="137"/>
      <c r="E1207" s="137"/>
      <c r="F1207" s="137"/>
      <c r="G1207" s="137"/>
      <c r="H1207" s="137"/>
      <c r="I1207" s="137"/>
      <c r="J1207" s="137"/>
      <c r="K1207" s="137"/>
      <c r="L1207" s="137"/>
      <c r="M1207" s="137"/>
      <c r="N1207" s="137"/>
      <c r="O1207" s="137"/>
      <c r="P1207" s="137"/>
      <c r="Q1207" s="137"/>
      <c r="R1207" s="137"/>
      <c r="S1207" s="137"/>
      <c r="T1207" s="137"/>
      <c r="U1207" s="137"/>
      <c r="V1207" s="137"/>
      <c r="W1207" s="137"/>
    </row>
    <row r="1208" spans="1:23" x14ac:dyDescent="0.25">
      <c r="A1208" s="137"/>
      <c r="B1208" s="137"/>
      <c r="C1208" s="137"/>
      <c r="D1208" s="137"/>
      <c r="E1208" s="137"/>
      <c r="F1208" s="137"/>
      <c r="G1208" s="137"/>
      <c r="H1208" s="137"/>
      <c r="I1208" s="137"/>
      <c r="J1208" s="137"/>
      <c r="K1208" s="137"/>
      <c r="L1208" s="137"/>
      <c r="M1208" s="137"/>
      <c r="N1208" s="137"/>
      <c r="O1208" s="137"/>
      <c r="P1208" s="137"/>
      <c r="Q1208" s="137"/>
      <c r="R1208" s="137"/>
      <c r="S1208" s="137"/>
      <c r="T1208" s="137"/>
      <c r="U1208" s="137"/>
      <c r="V1208" s="137"/>
      <c r="W1208" s="137"/>
    </row>
    <row r="1209" spans="1:23" x14ac:dyDescent="0.25">
      <c r="A1209" s="137"/>
      <c r="B1209" s="137"/>
      <c r="C1209" s="137"/>
      <c r="D1209" s="137"/>
      <c r="E1209" s="137"/>
      <c r="F1209" s="137"/>
      <c r="G1209" s="137"/>
      <c r="H1209" s="137"/>
      <c r="I1209" s="137"/>
      <c r="J1209" s="137"/>
      <c r="K1209" s="137"/>
      <c r="L1209" s="137"/>
      <c r="M1209" s="137"/>
      <c r="N1209" s="137"/>
      <c r="O1209" s="137"/>
      <c r="P1209" s="137"/>
      <c r="Q1209" s="137"/>
      <c r="R1209" s="137"/>
      <c r="S1209" s="137"/>
      <c r="T1209" s="137"/>
      <c r="U1209" s="137"/>
      <c r="V1209" s="137"/>
      <c r="W1209" s="137"/>
    </row>
    <row r="1210" spans="1:23" x14ac:dyDescent="0.25">
      <c r="A1210" s="137"/>
      <c r="B1210" s="137"/>
      <c r="C1210" s="137"/>
      <c r="D1210" s="137"/>
      <c r="E1210" s="137"/>
      <c r="F1210" s="137"/>
      <c r="G1210" s="137"/>
      <c r="H1210" s="137"/>
      <c r="I1210" s="137"/>
      <c r="J1210" s="137"/>
      <c r="K1210" s="137"/>
      <c r="L1210" s="137"/>
      <c r="M1210" s="137"/>
      <c r="N1210" s="137"/>
      <c r="O1210" s="137"/>
      <c r="P1210" s="137"/>
      <c r="Q1210" s="137"/>
      <c r="R1210" s="137"/>
      <c r="S1210" s="137"/>
      <c r="T1210" s="137"/>
      <c r="U1210" s="137"/>
      <c r="V1210" s="137"/>
      <c r="W1210" s="137"/>
    </row>
    <row r="1211" spans="1:23" x14ac:dyDescent="0.25">
      <c r="A1211" s="137"/>
      <c r="B1211" s="137"/>
      <c r="C1211" s="137"/>
      <c r="D1211" s="137"/>
      <c r="E1211" s="137"/>
      <c r="F1211" s="137"/>
      <c r="G1211" s="137"/>
      <c r="H1211" s="137"/>
      <c r="I1211" s="137"/>
      <c r="J1211" s="137"/>
      <c r="K1211" s="137"/>
      <c r="L1211" s="137"/>
      <c r="M1211" s="137"/>
      <c r="N1211" s="137"/>
      <c r="O1211" s="137"/>
      <c r="P1211" s="137"/>
      <c r="Q1211" s="137"/>
      <c r="R1211" s="137"/>
      <c r="S1211" s="137"/>
      <c r="T1211" s="137"/>
      <c r="U1211" s="137"/>
      <c r="V1211" s="137"/>
      <c r="W1211" s="137"/>
    </row>
    <row r="1212" spans="1:23" x14ac:dyDescent="0.25">
      <c r="A1212" s="137"/>
      <c r="B1212" s="137"/>
      <c r="C1212" s="137"/>
      <c r="D1212" s="137"/>
      <c r="E1212" s="137"/>
      <c r="F1212" s="137"/>
      <c r="G1212" s="137"/>
      <c r="H1212" s="137"/>
      <c r="I1212" s="137"/>
      <c r="J1212" s="137"/>
      <c r="K1212" s="137"/>
      <c r="L1212" s="137"/>
      <c r="M1212" s="137"/>
      <c r="N1212" s="137"/>
      <c r="O1212" s="137"/>
      <c r="P1212" s="137"/>
      <c r="Q1212" s="137"/>
      <c r="R1212" s="137"/>
      <c r="S1212" s="137"/>
      <c r="T1212" s="137"/>
      <c r="U1212" s="137"/>
      <c r="V1212" s="137"/>
      <c r="W1212" s="137"/>
    </row>
    <row r="1213" spans="1:23" x14ac:dyDescent="0.25">
      <c r="A1213" s="137"/>
      <c r="B1213" s="137"/>
      <c r="C1213" s="137"/>
      <c r="D1213" s="137"/>
      <c r="E1213" s="137"/>
      <c r="F1213" s="137"/>
      <c r="G1213" s="137"/>
      <c r="H1213" s="137"/>
      <c r="I1213" s="137"/>
      <c r="J1213" s="137"/>
      <c r="K1213" s="137"/>
      <c r="L1213" s="137"/>
      <c r="M1213" s="137"/>
      <c r="N1213" s="137"/>
      <c r="O1213" s="137"/>
      <c r="P1213" s="137"/>
      <c r="Q1213" s="137"/>
      <c r="R1213" s="137"/>
      <c r="S1213" s="137"/>
      <c r="T1213" s="137"/>
      <c r="U1213" s="137"/>
      <c r="V1213" s="137"/>
      <c r="W1213" s="137"/>
    </row>
    <row r="1214" spans="1:23" x14ac:dyDescent="0.25">
      <c r="A1214" s="137"/>
      <c r="B1214" s="137"/>
      <c r="C1214" s="137"/>
      <c r="D1214" s="137"/>
      <c r="E1214" s="137"/>
      <c r="F1214" s="137"/>
      <c r="G1214" s="137"/>
      <c r="H1214" s="137"/>
      <c r="I1214" s="137"/>
      <c r="J1214" s="137"/>
      <c r="K1214" s="137"/>
      <c r="L1214" s="137"/>
      <c r="M1214" s="137"/>
      <c r="N1214" s="137"/>
      <c r="O1214" s="137"/>
      <c r="P1214" s="137"/>
      <c r="Q1214" s="137"/>
      <c r="R1214" s="137"/>
      <c r="S1214" s="137"/>
      <c r="T1214" s="137"/>
      <c r="U1214" s="137"/>
      <c r="V1214" s="137"/>
      <c r="W1214" s="137"/>
    </row>
    <row r="1215" spans="1:23" x14ac:dyDescent="0.25">
      <c r="A1215" s="137"/>
      <c r="B1215" s="137"/>
      <c r="C1215" s="137"/>
      <c r="D1215" s="137"/>
      <c r="E1215" s="137"/>
      <c r="F1215" s="137"/>
      <c r="G1215" s="137"/>
      <c r="H1215" s="137"/>
      <c r="I1215" s="137"/>
      <c r="J1215" s="137"/>
      <c r="K1215" s="137"/>
      <c r="L1215" s="137"/>
      <c r="M1215" s="137"/>
      <c r="N1215" s="137"/>
      <c r="O1215" s="137"/>
      <c r="P1215" s="137"/>
      <c r="Q1215" s="137"/>
      <c r="R1215" s="137"/>
      <c r="S1215" s="137"/>
      <c r="T1215" s="137"/>
      <c r="U1215" s="137"/>
      <c r="V1215" s="137"/>
      <c r="W1215" s="137"/>
    </row>
    <row r="1216" spans="1:23" x14ac:dyDescent="0.25">
      <c r="A1216" s="137"/>
      <c r="B1216" s="137"/>
      <c r="C1216" s="137"/>
      <c r="D1216" s="137"/>
      <c r="E1216" s="137"/>
      <c r="F1216" s="137"/>
      <c r="G1216" s="137"/>
      <c r="H1216" s="137"/>
      <c r="I1216" s="137"/>
      <c r="J1216" s="137"/>
      <c r="K1216" s="137"/>
      <c r="L1216" s="137"/>
      <c r="M1216" s="137"/>
      <c r="N1216" s="137"/>
      <c r="O1216" s="137"/>
      <c r="P1216" s="137"/>
      <c r="Q1216" s="137"/>
      <c r="R1216" s="137"/>
      <c r="S1216" s="137"/>
      <c r="T1216" s="137"/>
      <c r="U1216" s="137"/>
      <c r="V1216" s="137"/>
      <c r="W1216" s="137"/>
    </row>
    <row r="1217" spans="1:23" x14ac:dyDescent="0.25">
      <c r="A1217" s="137"/>
      <c r="B1217" s="137"/>
      <c r="C1217" s="137"/>
      <c r="D1217" s="137"/>
      <c r="E1217" s="137"/>
      <c r="F1217" s="137"/>
      <c r="G1217" s="137"/>
      <c r="H1217" s="137"/>
      <c r="I1217" s="137"/>
      <c r="J1217" s="137"/>
      <c r="K1217" s="137"/>
      <c r="L1217" s="137"/>
      <c r="M1217" s="137"/>
      <c r="N1217" s="137"/>
      <c r="O1217" s="137"/>
      <c r="P1217" s="137"/>
      <c r="Q1217" s="137"/>
      <c r="R1217" s="137"/>
      <c r="S1217" s="137"/>
      <c r="T1217" s="137"/>
      <c r="U1217" s="137"/>
      <c r="V1217" s="137"/>
      <c r="W1217" s="137"/>
    </row>
    <row r="1218" spans="1:23" x14ac:dyDescent="0.25">
      <c r="A1218" s="137"/>
      <c r="B1218" s="137"/>
      <c r="C1218" s="137"/>
      <c r="D1218" s="137"/>
      <c r="E1218" s="137"/>
      <c r="F1218" s="137"/>
      <c r="G1218" s="137"/>
      <c r="H1218" s="137"/>
      <c r="I1218" s="137"/>
      <c r="J1218" s="137"/>
      <c r="K1218" s="137"/>
      <c r="L1218" s="137"/>
      <c r="M1218" s="137"/>
      <c r="N1218" s="137"/>
      <c r="O1218" s="137"/>
      <c r="P1218" s="137"/>
      <c r="Q1218" s="137"/>
      <c r="R1218" s="137"/>
      <c r="S1218" s="137"/>
      <c r="T1218" s="137"/>
      <c r="U1218" s="137"/>
      <c r="V1218" s="137"/>
      <c r="W1218" s="137"/>
    </row>
    <row r="1219" spans="1:23" x14ac:dyDescent="0.25">
      <c r="A1219" s="137"/>
      <c r="B1219" s="137"/>
      <c r="C1219" s="137"/>
      <c r="D1219" s="137"/>
      <c r="E1219" s="137"/>
      <c r="F1219" s="137"/>
      <c r="G1219" s="137"/>
      <c r="H1219" s="137"/>
      <c r="I1219" s="137"/>
      <c r="J1219" s="137"/>
      <c r="K1219" s="137"/>
      <c r="L1219" s="137"/>
      <c r="M1219" s="137"/>
      <c r="N1219" s="137"/>
      <c r="O1219" s="137"/>
      <c r="P1219" s="137"/>
      <c r="Q1219" s="137"/>
      <c r="R1219" s="137"/>
      <c r="S1219" s="137"/>
      <c r="T1219" s="137"/>
      <c r="U1219" s="137"/>
      <c r="V1219" s="137"/>
      <c r="W1219" s="137"/>
    </row>
    <row r="1220" spans="1:23" x14ac:dyDescent="0.25">
      <c r="A1220" s="137"/>
      <c r="B1220" s="137"/>
      <c r="C1220" s="137"/>
      <c r="D1220" s="137"/>
      <c r="E1220" s="137"/>
      <c r="F1220" s="137"/>
      <c r="G1220" s="137"/>
      <c r="H1220" s="137"/>
      <c r="I1220" s="137"/>
      <c r="J1220" s="137"/>
      <c r="K1220" s="137"/>
      <c r="L1220" s="137"/>
      <c r="M1220" s="137"/>
      <c r="N1220" s="137"/>
      <c r="O1220" s="137"/>
      <c r="P1220" s="137"/>
      <c r="Q1220" s="137"/>
      <c r="R1220" s="137"/>
      <c r="S1220" s="137"/>
      <c r="T1220" s="137"/>
      <c r="U1220" s="137"/>
      <c r="V1220" s="137"/>
      <c r="W1220" s="137"/>
    </row>
    <row r="1221" spans="1:23" x14ac:dyDescent="0.25">
      <c r="A1221" s="137"/>
      <c r="B1221" s="137"/>
      <c r="C1221" s="137"/>
      <c r="D1221" s="137"/>
      <c r="E1221" s="137"/>
      <c r="F1221" s="137"/>
      <c r="G1221" s="137"/>
      <c r="H1221" s="137"/>
      <c r="I1221" s="137"/>
      <c r="J1221" s="137"/>
      <c r="K1221" s="137"/>
      <c r="L1221" s="137"/>
      <c r="M1221" s="137"/>
      <c r="N1221" s="137"/>
      <c r="O1221" s="137"/>
      <c r="P1221" s="137"/>
      <c r="Q1221" s="137"/>
      <c r="R1221" s="137"/>
      <c r="S1221" s="137"/>
      <c r="T1221" s="137"/>
      <c r="U1221" s="137"/>
      <c r="V1221" s="137"/>
      <c r="W1221" s="137"/>
    </row>
    <row r="1222" spans="1:23" x14ac:dyDescent="0.25">
      <c r="A1222" s="137"/>
      <c r="B1222" s="137"/>
      <c r="C1222" s="137"/>
      <c r="D1222" s="137"/>
      <c r="E1222" s="137"/>
      <c r="F1222" s="137"/>
      <c r="G1222" s="137"/>
      <c r="H1222" s="137"/>
      <c r="I1222" s="137"/>
      <c r="J1222" s="137"/>
      <c r="K1222" s="137"/>
      <c r="L1222" s="137"/>
      <c r="M1222" s="137"/>
      <c r="N1222" s="137"/>
      <c r="O1222" s="137"/>
      <c r="P1222" s="137"/>
      <c r="Q1222" s="137"/>
      <c r="R1222" s="137"/>
      <c r="S1222" s="137"/>
      <c r="T1222" s="137"/>
      <c r="U1222" s="137"/>
      <c r="V1222" s="137"/>
      <c r="W1222" s="137"/>
    </row>
    <row r="1223" spans="1:23" x14ac:dyDescent="0.25">
      <c r="A1223" s="137"/>
      <c r="B1223" s="137"/>
      <c r="C1223" s="137"/>
      <c r="D1223" s="137"/>
      <c r="E1223" s="137"/>
      <c r="F1223" s="137"/>
      <c r="G1223" s="137"/>
      <c r="H1223" s="137"/>
      <c r="I1223" s="137"/>
      <c r="J1223" s="137"/>
      <c r="K1223" s="137"/>
      <c r="L1223" s="137"/>
      <c r="M1223" s="137"/>
      <c r="N1223" s="137"/>
      <c r="O1223" s="137"/>
      <c r="P1223" s="137"/>
      <c r="Q1223" s="137"/>
      <c r="R1223" s="137"/>
      <c r="S1223" s="137"/>
      <c r="T1223" s="137"/>
      <c r="U1223" s="137"/>
      <c r="V1223" s="137"/>
      <c r="W1223" s="137"/>
    </row>
    <row r="1224" spans="1:23" x14ac:dyDescent="0.25">
      <c r="A1224" s="137"/>
      <c r="B1224" s="137"/>
      <c r="C1224" s="137"/>
      <c r="D1224" s="137"/>
      <c r="E1224" s="137"/>
      <c r="F1224" s="137"/>
      <c r="G1224" s="137"/>
      <c r="H1224" s="137"/>
      <c r="I1224" s="137"/>
      <c r="J1224" s="137"/>
      <c r="K1224" s="137"/>
      <c r="L1224" s="137"/>
      <c r="M1224" s="137"/>
      <c r="N1224" s="137"/>
      <c r="O1224" s="137"/>
      <c r="P1224" s="137"/>
      <c r="Q1224" s="137"/>
      <c r="R1224" s="137"/>
      <c r="S1224" s="137"/>
      <c r="T1224" s="137"/>
      <c r="U1224" s="137"/>
      <c r="V1224" s="137"/>
      <c r="W1224" s="137"/>
    </row>
    <row r="1225" spans="1:23" x14ac:dyDescent="0.25">
      <c r="A1225" s="137"/>
      <c r="B1225" s="137"/>
      <c r="C1225" s="137"/>
      <c r="D1225" s="137"/>
      <c r="E1225" s="137"/>
      <c r="F1225" s="137"/>
      <c r="G1225" s="137"/>
      <c r="H1225" s="137"/>
      <c r="I1225" s="137"/>
      <c r="J1225" s="137"/>
      <c r="K1225" s="137"/>
      <c r="L1225" s="137"/>
      <c r="M1225" s="137"/>
      <c r="N1225" s="137"/>
      <c r="O1225" s="137"/>
      <c r="P1225" s="137"/>
      <c r="Q1225" s="137"/>
      <c r="R1225" s="137"/>
      <c r="S1225" s="137"/>
      <c r="T1225" s="137"/>
      <c r="U1225" s="137"/>
      <c r="V1225" s="137"/>
      <c r="W1225" s="137"/>
    </row>
    <row r="1226" spans="1:23" x14ac:dyDescent="0.25">
      <c r="A1226" s="137"/>
      <c r="B1226" s="137"/>
      <c r="C1226" s="137"/>
      <c r="D1226" s="137"/>
      <c r="E1226" s="137"/>
      <c r="F1226" s="137"/>
      <c r="G1226" s="137"/>
      <c r="H1226" s="137"/>
      <c r="I1226" s="137"/>
      <c r="J1226" s="137"/>
      <c r="K1226" s="137"/>
      <c r="L1226" s="137"/>
      <c r="M1226" s="137"/>
      <c r="N1226" s="137"/>
      <c r="O1226" s="137"/>
      <c r="P1226" s="137"/>
      <c r="Q1226" s="137"/>
      <c r="R1226" s="137"/>
      <c r="S1226" s="137"/>
      <c r="T1226" s="137"/>
      <c r="U1226" s="137"/>
      <c r="V1226" s="137"/>
      <c r="W1226" s="137"/>
    </row>
    <row r="1227" spans="1:23" x14ac:dyDescent="0.25">
      <c r="A1227" s="137"/>
      <c r="B1227" s="137"/>
      <c r="C1227" s="137"/>
      <c r="D1227" s="137"/>
      <c r="E1227" s="137"/>
      <c r="F1227" s="137"/>
      <c r="G1227" s="137"/>
      <c r="H1227" s="137"/>
      <c r="I1227" s="137"/>
      <c r="J1227" s="137"/>
      <c r="K1227" s="137"/>
      <c r="L1227" s="137"/>
      <c r="M1227" s="137"/>
      <c r="N1227" s="137"/>
      <c r="O1227" s="137"/>
      <c r="P1227" s="137"/>
      <c r="Q1227" s="137"/>
      <c r="R1227" s="137"/>
      <c r="S1227" s="137"/>
      <c r="T1227" s="137"/>
      <c r="U1227" s="137"/>
      <c r="V1227" s="137"/>
      <c r="W1227" s="137"/>
    </row>
    <row r="1228" spans="1:23" x14ac:dyDescent="0.25">
      <c r="A1228" s="137"/>
      <c r="B1228" s="137"/>
      <c r="C1228" s="137"/>
      <c r="D1228" s="137"/>
      <c r="E1228" s="137"/>
      <c r="F1228" s="137"/>
      <c r="G1228" s="137"/>
      <c r="H1228" s="137"/>
      <c r="I1228" s="137"/>
      <c r="J1228" s="137"/>
      <c r="K1228" s="137"/>
      <c r="L1228" s="137"/>
      <c r="M1228" s="137"/>
      <c r="N1228" s="137"/>
      <c r="O1228" s="137"/>
      <c r="P1228" s="137"/>
      <c r="Q1228" s="137"/>
      <c r="R1228" s="137"/>
      <c r="S1228" s="137"/>
      <c r="T1228" s="137"/>
      <c r="U1228" s="137"/>
      <c r="V1228" s="137"/>
      <c r="W1228" s="137"/>
    </row>
    <row r="1229" spans="1:23" x14ac:dyDescent="0.25">
      <c r="A1229" s="137"/>
      <c r="B1229" s="137"/>
      <c r="C1229" s="137"/>
      <c r="D1229" s="137"/>
      <c r="E1229" s="137"/>
      <c r="F1229" s="137"/>
      <c r="G1229" s="137"/>
      <c r="H1229" s="137"/>
      <c r="I1229" s="137"/>
      <c r="J1229" s="137"/>
      <c r="K1229" s="137"/>
      <c r="L1229" s="137"/>
      <c r="M1229" s="137"/>
      <c r="N1229" s="137"/>
      <c r="O1229" s="137"/>
      <c r="P1229" s="137"/>
      <c r="Q1229" s="137"/>
      <c r="R1229" s="137"/>
      <c r="S1229" s="137"/>
      <c r="T1229" s="137"/>
      <c r="U1229" s="137"/>
      <c r="V1229" s="137"/>
      <c r="W1229" s="137"/>
    </row>
    <row r="1230" spans="1:23" x14ac:dyDescent="0.25">
      <c r="A1230" s="137"/>
      <c r="B1230" s="137"/>
      <c r="C1230" s="137"/>
      <c r="D1230" s="137"/>
      <c r="E1230" s="137"/>
      <c r="F1230" s="137"/>
      <c r="G1230" s="137"/>
      <c r="H1230" s="137"/>
      <c r="I1230" s="137"/>
      <c r="J1230" s="137"/>
      <c r="K1230" s="137"/>
      <c r="L1230" s="137"/>
      <c r="M1230" s="137"/>
      <c r="N1230" s="137"/>
      <c r="O1230" s="137"/>
      <c r="P1230" s="137"/>
      <c r="Q1230" s="137"/>
      <c r="R1230" s="137"/>
      <c r="S1230" s="137"/>
      <c r="T1230" s="137"/>
      <c r="U1230" s="137"/>
      <c r="V1230" s="137"/>
      <c r="W1230" s="137"/>
    </row>
    <row r="1231" spans="1:23" x14ac:dyDescent="0.25">
      <c r="A1231" s="137"/>
      <c r="B1231" s="137"/>
      <c r="C1231" s="137"/>
      <c r="D1231" s="137"/>
      <c r="E1231" s="137"/>
      <c r="F1231" s="137"/>
      <c r="G1231" s="137"/>
      <c r="H1231" s="137"/>
      <c r="I1231" s="137"/>
      <c r="J1231" s="137"/>
      <c r="K1231" s="137"/>
      <c r="L1231" s="137"/>
      <c r="M1231" s="137"/>
      <c r="N1231" s="137"/>
      <c r="O1231" s="137"/>
      <c r="P1231" s="137"/>
      <c r="Q1231" s="137"/>
      <c r="R1231" s="137"/>
      <c r="S1231" s="137"/>
      <c r="T1231" s="137"/>
      <c r="U1231" s="137"/>
      <c r="V1231" s="137"/>
      <c r="W1231" s="137"/>
    </row>
    <row r="1232" spans="1:23" x14ac:dyDescent="0.25">
      <c r="A1232" s="137"/>
      <c r="B1232" s="137"/>
      <c r="C1232" s="137"/>
      <c r="D1232" s="137"/>
      <c r="E1232" s="137"/>
      <c r="F1232" s="137"/>
      <c r="G1232" s="137"/>
      <c r="H1232" s="137"/>
      <c r="I1232" s="137"/>
      <c r="J1232" s="137"/>
      <c r="K1232" s="137"/>
      <c r="L1232" s="137"/>
      <c r="M1232" s="137"/>
      <c r="N1232" s="137"/>
      <c r="O1232" s="137"/>
      <c r="P1232" s="137"/>
      <c r="Q1232" s="137"/>
      <c r="R1232" s="137"/>
      <c r="S1232" s="137"/>
      <c r="T1232" s="137"/>
      <c r="U1232" s="137"/>
      <c r="V1232" s="137"/>
      <c r="W1232" s="137"/>
    </row>
    <row r="1233" spans="1:23" x14ac:dyDescent="0.25">
      <c r="A1233" s="137"/>
      <c r="B1233" s="137"/>
      <c r="C1233" s="137"/>
      <c r="D1233" s="137"/>
      <c r="E1233" s="137"/>
      <c r="F1233" s="137"/>
      <c r="G1233" s="137"/>
      <c r="H1233" s="137"/>
      <c r="I1233" s="137"/>
      <c r="J1233" s="137"/>
      <c r="K1233" s="137"/>
      <c r="L1233" s="137"/>
      <c r="M1233" s="137"/>
      <c r="N1233" s="137"/>
      <c r="O1233" s="137"/>
      <c r="P1233" s="137"/>
      <c r="Q1233" s="137"/>
      <c r="R1233" s="137"/>
      <c r="S1233" s="137"/>
      <c r="T1233" s="137"/>
      <c r="U1233" s="137"/>
      <c r="V1233" s="137"/>
      <c r="W1233" s="137"/>
    </row>
    <row r="1234" spans="1:23" x14ac:dyDescent="0.25">
      <c r="A1234" s="137"/>
      <c r="B1234" s="137"/>
      <c r="C1234" s="137"/>
      <c r="D1234" s="137"/>
      <c r="E1234" s="137"/>
      <c r="F1234" s="137"/>
      <c r="G1234" s="137"/>
      <c r="H1234" s="137"/>
      <c r="I1234" s="137"/>
      <c r="J1234" s="137"/>
      <c r="K1234" s="137"/>
      <c r="L1234" s="137"/>
      <c r="M1234" s="137"/>
      <c r="N1234" s="137"/>
      <c r="O1234" s="137"/>
      <c r="P1234" s="137"/>
      <c r="Q1234" s="137"/>
      <c r="R1234" s="137"/>
      <c r="S1234" s="137"/>
      <c r="T1234" s="137"/>
      <c r="U1234" s="137"/>
      <c r="V1234" s="137"/>
      <c r="W1234" s="137"/>
    </row>
    <row r="1235" spans="1:23" x14ac:dyDescent="0.25">
      <c r="A1235" s="137"/>
      <c r="B1235" s="137"/>
      <c r="C1235" s="137"/>
      <c r="D1235" s="137"/>
      <c r="E1235" s="137"/>
      <c r="F1235" s="137"/>
      <c r="G1235" s="137"/>
      <c r="H1235" s="137"/>
      <c r="I1235" s="137"/>
      <c r="J1235" s="137"/>
      <c r="K1235" s="137"/>
      <c r="L1235" s="137"/>
      <c r="M1235" s="137"/>
      <c r="N1235" s="137"/>
      <c r="O1235" s="137"/>
      <c r="P1235" s="137"/>
      <c r="Q1235" s="137"/>
      <c r="R1235" s="137"/>
      <c r="S1235" s="137"/>
      <c r="T1235" s="137"/>
      <c r="U1235" s="137"/>
      <c r="V1235" s="137"/>
      <c r="W1235" s="137"/>
    </row>
    <row r="1236" spans="1:23" x14ac:dyDescent="0.25">
      <c r="A1236" s="137"/>
      <c r="B1236" s="137"/>
      <c r="C1236" s="137"/>
      <c r="D1236" s="137"/>
      <c r="E1236" s="137"/>
      <c r="F1236" s="137"/>
      <c r="G1236" s="137"/>
      <c r="H1236" s="137"/>
      <c r="I1236" s="137"/>
      <c r="J1236" s="137"/>
      <c r="K1236" s="137"/>
      <c r="L1236" s="137"/>
      <c r="M1236" s="137"/>
      <c r="N1236" s="137"/>
      <c r="O1236" s="137"/>
      <c r="P1236" s="137"/>
      <c r="Q1236" s="137"/>
      <c r="R1236" s="137"/>
      <c r="S1236" s="137"/>
      <c r="T1236" s="137"/>
      <c r="U1236" s="137"/>
      <c r="V1236" s="137"/>
      <c r="W1236" s="137"/>
    </row>
    <row r="1237" spans="1:23" x14ac:dyDescent="0.25">
      <c r="A1237" s="137"/>
      <c r="B1237" s="137"/>
      <c r="C1237" s="137"/>
      <c r="D1237" s="137"/>
      <c r="E1237" s="137"/>
      <c r="F1237" s="137"/>
      <c r="G1237" s="137"/>
      <c r="H1237" s="137"/>
      <c r="I1237" s="137"/>
      <c r="J1237" s="137"/>
      <c r="K1237" s="137"/>
      <c r="L1237" s="137"/>
      <c r="M1237" s="137"/>
      <c r="N1237" s="137"/>
      <c r="O1237" s="137"/>
      <c r="P1237" s="137"/>
      <c r="Q1237" s="137"/>
      <c r="R1237" s="137"/>
      <c r="S1237" s="137"/>
      <c r="T1237" s="137"/>
      <c r="U1237" s="137"/>
      <c r="V1237" s="137"/>
      <c r="W1237" s="137"/>
    </row>
    <row r="1238" spans="1:23" x14ac:dyDescent="0.25">
      <c r="A1238" s="137"/>
      <c r="B1238" s="137"/>
      <c r="C1238" s="137"/>
      <c r="D1238" s="137"/>
      <c r="E1238" s="137"/>
      <c r="F1238" s="137"/>
      <c r="G1238" s="137"/>
      <c r="H1238" s="137"/>
      <c r="I1238" s="137"/>
      <c r="J1238" s="137"/>
      <c r="K1238" s="137"/>
      <c r="L1238" s="137"/>
      <c r="M1238" s="137"/>
      <c r="N1238" s="137"/>
      <c r="O1238" s="137"/>
      <c r="P1238" s="137"/>
      <c r="Q1238" s="137"/>
      <c r="R1238" s="137"/>
      <c r="S1238" s="137"/>
      <c r="T1238" s="137"/>
      <c r="U1238" s="137"/>
      <c r="V1238" s="137"/>
      <c r="W1238" s="137"/>
    </row>
    <row r="1239" spans="1:23" x14ac:dyDescent="0.25">
      <c r="A1239" s="137"/>
      <c r="B1239" s="137"/>
      <c r="C1239" s="137"/>
      <c r="D1239" s="137"/>
      <c r="E1239" s="137"/>
      <c r="F1239" s="137"/>
      <c r="G1239" s="137"/>
      <c r="H1239" s="137"/>
      <c r="I1239" s="137"/>
      <c r="J1239" s="137"/>
      <c r="K1239" s="137"/>
      <c r="L1239" s="137"/>
      <c r="M1239" s="137"/>
      <c r="N1239" s="137"/>
      <c r="O1239" s="137"/>
      <c r="P1239" s="137"/>
      <c r="Q1239" s="137"/>
      <c r="R1239" s="137"/>
      <c r="S1239" s="137"/>
      <c r="T1239" s="137"/>
      <c r="U1239" s="137"/>
      <c r="V1239" s="137"/>
      <c r="W1239" s="137"/>
    </row>
    <row r="1240" spans="1:23" x14ac:dyDescent="0.25">
      <c r="A1240" s="137"/>
      <c r="B1240" s="137"/>
      <c r="C1240" s="137"/>
      <c r="D1240" s="137"/>
      <c r="E1240" s="137"/>
      <c r="F1240" s="137"/>
      <c r="G1240" s="137"/>
      <c r="H1240" s="137"/>
      <c r="I1240" s="137"/>
      <c r="J1240" s="137"/>
      <c r="K1240" s="137"/>
      <c r="L1240" s="137"/>
      <c r="M1240" s="137"/>
      <c r="N1240" s="137"/>
      <c r="O1240" s="137"/>
      <c r="P1240" s="137"/>
      <c r="Q1240" s="137"/>
      <c r="R1240" s="137"/>
      <c r="S1240" s="137"/>
      <c r="T1240" s="137"/>
      <c r="U1240" s="137"/>
      <c r="V1240" s="137"/>
      <c r="W1240" s="137"/>
    </row>
    <row r="1241" spans="1:23" x14ac:dyDescent="0.25">
      <c r="A1241" s="137"/>
      <c r="B1241" s="137"/>
      <c r="C1241" s="137"/>
      <c r="D1241" s="137"/>
      <c r="E1241" s="137"/>
      <c r="F1241" s="137"/>
      <c r="G1241" s="137"/>
      <c r="H1241" s="137"/>
      <c r="I1241" s="137"/>
      <c r="J1241" s="137"/>
      <c r="K1241" s="137"/>
      <c r="L1241" s="137"/>
      <c r="M1241" s="137"/>
      <c r="N1241" s="137"/>
      <c r="O1241" s="137"/>
      <c r="P1241" s="137"/>
      <c r="Q1241" s="137"/>
      <c r="R1241" s="137"/>
      <c r="S1241" s="137"/>
      <c r="T1241" s="137"/>
      <c r="U1241" s="137"/>
      <c r="V1241" s="137"/>
      <c r="W1241" s="137"/>
    </row>
    <row r="1242" spans="1:23" x14ac:dyDescent="0.25">
      <c r="A1242" s="137"/>
      <c r="B1242" s="137"/>
      <c r="C1242" s="137"/>
      <c r="D1242" s="137"/>
      <c r="E1242" s="137"/>
      <c r="F1242" s="137"/>
      <c r="G1242" s="137"/>
      <c r="H1242" s="137"/>
      <c r="I1242" s="137"/>
      <c r="J1242" s="137"/>
      <c r="K1242" s="137"/>
      <c r="L1242" s="137"/>
      <c r="M1242" s="137"/>
      <c r="N1242" s="137"/>
      <c r="O1242" s="137"/>
      <c r="P1242" s="137"/>
      <c r="Q1242" s="137"/>
      <c r="R1242" s="137"/>
      <c r="S1242" s="137"/>
      <c r="T1242" s="137"/>
      <c r="U1242" s="137"/>
      <c r="V1242" s="137"/>
      <c r="W1242" s="137"/>
    </row>
    <row r="1243" spans="1:23" x14ac:dyDescent="0.25">
      <c r="A1243" s="137"/>
      <c r="B1243" s="137"/>
      <c r="C1243" s="137"/>
      <c r="D1243" s="137"/>
      <c r="E1243" s="137"/>
      <c r="F1243" s="137"/>
      <c r="G1243" s="137"/>
      <c r="H1243" s="137"/>
      <c r="I1243" s="137"/>
      <c r="J1243" s="137"/>
      <c r="K1243" s="137"/>
      <c r="L1243" s="137"/>
      <c r="M1243" s="137"/>
      <c r="N1243" s="137"/>
      <c r="O1243" s="137"/>
      <c r="P1243" s="137"/>
      <c r="Q1243" s="137"/>
      <c r="R1243" s="137"/>
      <c r="S1243" s="137"/>
      <c r="T1243" s="137"/>
      <c r="U1243" s="137"/>
      <c r="V1243" s="137"/>
      <c r="W1243" s="137"/>
    </row>
    <row r="1244" spans="1:23" x14ac:dyDescent="0.25">
      <c r="A1244" s="137"/>
      <c r="B1244" s="137"/>
      <c r="C1244" s="137"/>
      <c r="D1244" s="137"/>
      <c r="E1244" s="137"/>
      <c r="F1244" s="137"/>
      <c r="G1244" s="137"/>
      <c r="H1244" s="137"/>
      <c r="I1244" s="137"/>
      <c r="J1244" s="137"/>
      <c r="K1244" s="137"/>
      <c r="L1244" s="137"/>
      <c r="M1244" s="137"/>
      <c r="N1244" s="137"/>
      <c r="O1244" s="137"/>
      <c r="P1244" s="137"/>
      <c r="Q1244" s="137"/>
      <c r="R1244" s="137"/>
      <c r="S1244" s="137"/>
      <c r="T1244" s="137"/>
      <c r="U1244" s="137"/>
      <c r="V1244" s="137"/>
      <c r="W1244" s="137"/>
    </row>
    <row r="1245" spans="1:23" x14ac:dyDescent="0.25">
      <c r="A1245" s="137"/>
      <c r="B1245" s="137"/>
      <c r="C1245" s="137"/>
      <c r="D1245" s="137"/>
      <c r="E1245" s="137"/>
      <c r="F1245" s="137"/>
      <c r="G1245" s="137"/>
      <c r="H1245" s="137"/>
      <c r="I1245" s="137"/>
      <c r="J1245" s="137"/>
      <c r="K1245" s="137"/>
      <c r="L1245" s="137"/>
      <c r="M1245" s="137"/>
      <c r="N1245" s="137"/>
      <c r="O1245" s="137"/>
      <c r="P1245" s="137"/>
      <c r="Q1245" s="137"/>
      <c r="R1245" s="137"/>
      <c r="S1245" s="137"/>
      <c r="T1245" s="137"/>
      <c r="U1245" s="137"/>
      <c r="V1245" s="137"/>
      <c r="W1245" s="137"/>
    </row>
    <row r="1246" spans="1:23" x14ac:dyDescent="0.25">
      <c r="A1246" s="137"/>
      <c r="B1246" s="137"/>
      <c r="C1246" s="137"/>
      <c r="D1246" s="137"/>
      <c r="E1246" s="137"/>
      <c r="F1246" s="137"/>
      <c r="G1246" s="137"/>
      <c r="H1246" s="137"/>
      <c r="I1246" s="137"/>
      <c r="J1246" s="137"/>
      <c r="K1246" s="137"/>
      <c r="L1246" s="137"/>
      <c r="M1246" s="137"/>
      <c r="N1246" s="137"/>
      <c r="O1246" s="137"/>
      <c r="P1246" s="137"/>
      <c r="Q1246" s="137"/>
      <c r="R1246" s="137"/>
      <c r="S1246" s="137"/>
      <c r="T1246" s="137"/>
      <c r="U1246" s="137"/>
      <c r="V1246" s="137"/>
      <c r="W1246" s="137"/>
    </row>
    <row r="1247" spans="1:23" x14ac:dyDescent="0.25">
      <c r="A1247" s="137"/>
      <c r="B1247" s="137"/>
      <c r="C1247" s="137"/>
      <c r="D1247" s="137"/>
      <c r="E1247" s="137"/>
      <c r="F1247" s="137"/>
      <c r="G1247" s="137"/>
      <c r="H1247" s="137"/>
      <c r="I1247" s="137"/>
      <c r="J1247" s="137"/>
      <c r="K1247" s="137"/>
      <c r="L1247" s="137"/>
      <c r="M1247" s="137"/>
      <c r="N1247" s="137"/>
      <c r="O1247" s="137"/>
      <c r="P1247" s="137"/>
      <c r="Q1247" s="137"/>
      <c r="R1247" s="137"/>
      <c r="S1247" s="137"/>
      <c r="T1247" s="137"/>
      <c r="U1247" s="137"/>
      <c r="V1247" s="137"/>
      <c r="W1247" s="137"/>
    </row>
    <row r="1248" spans="1:23" x14ac:dyDescent="0.25">
      <c r="A1248" s="137"/>
      <c r="B1248" s="137"/>
      <c r="C1248" s="137"/>
      <c r="D1248" s="137"/>
      <c r="E1248" s="137"/>
      <c r="F1248" s="137"/>
      <c r="G1248" s="137"/>
      <c r="H1248" s="137"/>
      <c r="I1248" s="137"/>
      <c r="J1248" s="137"/>
      <c r="K1248" s="137"/>
      <c r="L1248" s="137"/>
      <c r="M1248" s="137"/>
      <c r="N1248" s="137"/>
      <c r="O1248" s="137"/>
      <c r="P1248" s="137"/>
      <c r="Q1248" s="137"/>
      <c r="R1248" s="137"/>
      <c r="S1248" s="137"/>
      <c r="T1248" s="137"/>
      <c r="U1248" s="137"/>
      <c r="V1248" s="137"/>
      <c r="W1248" s="137"/>
    </row>
    <row r="1249" spans="1:23" x14ac:dyDescent="0.25">
      <c r="A1249" s="137"/>
      <c r="B1249" s="137"/>
      <c r="C1249" s="137"/>
      <c r="D1249" s="137"/>
      <c r="E1249" s="137"/>
      <c r="F1249" s="137"/>
      <c r="G1249" s="137"/>
      <c r="H1249" s="137"/>
      <c r="I1249" s="137"/>
      <c r="J1249" s="137"/>
      <c r="K1249" s="137"/>
      <c r="L1249" s="137"/>
      <c r="M1249" s="137"/>
      <c r="N1249" s="137"/>
      <c r="O1249" s="137"/>
      <c r="P1249" s="137"/>
      <c r="Q1249" s="137"/>
      <c r="R1249" s="137"/>
      <c r="S1249" s="137"/>
      <c r="T1249" s="137"/>
      <c r="U1249" s="137"/>
      <c r="V1249" s="137"/>
      <c r="W1249" s="137"/>
    </row>
    <row r="1250" spans="1:23" x14ac:dyDescent="0.25">
      <c r="A1250" s="137"/>
      <c r="B1250" s="137"/>
      <c r="C1250" s="137"/>
      <c r="D1250" s="137"/>
      <c r="E1250" s="137"/>
      <c r="F1250" s="137"/>
      <c r="G1250" s="137"/>
      <c r="H1250" s="137"/>
      <c r="I1250" s="137"/>
      <c r="J1250" s="137"/>
      <c r="K1250" s="137"/>
      <c r="L1250" s="137"/>
      <c r="M1250" s="137"/>
      <c r="N1250" s="137"/>
      <c r="O1250" s="137"/>
      <c r="P1250" s="137"/>
      <c r="Q1250" s="137"/>
      <c r="R1250" s="137"/>
      <c r="S1250" s="137"/>
      <c r="T1250" s="137"/>
      <c r="U1250" s="137"/>
      <c r="V1250" s="137"/>
      <c r="W1250" s="137"/>
    </row>
    <row r="1251" spans="1:23" x14ac:dyDescent="0.25">
      <c r="A1251" s="137"/>
      <c r="B1251" s="137"/>
      <c r="C1251" s="137"/>
      <c r="D1251" s="137"/>
      <c r="E1251" s="137"/>
      <c r="F1251" s="137"/>
      <c r="G1251" s="137"/>
      <c r="H1251" s="137"/>
      <c r="I1251" s="137"/>
      <c r="J1251" s="137"/>
      <c r="K1251" s="137"/>
      <c r="L1251" s="137"/>
      <c r="M1251" s="137"/>
      <c r="N1251" s="137"/>
      <c r="O1251" s="137"/>
      <c r="P1251" s="137"/>
      <c r="Q1251" s="137"/>
      <c r="R1251" s="137"/>
      <c r="S1251" s="137"/>
      <c r="T1251" s="137"/>
      <c r="U1251" s="137"/>
      <c r="V1251" s="137"/>
      <c r="W1251" s="137"/>
    </row>
    <row r="1252" spans="1:23" x14ac:dyDescent="0.25">
      <c r="A1252" s="137"/>
      <c r="B1252" s="137"/>
      <c r="C1252" s="137"/>
      <c r="D1252" s="137"/>
      <c r="E1252" s="137"/>
      <c r="F1252" s="137"/>
      <c r="G1252" s="137"/>
      <c r="H1252" s="137"/>
      <c r="I1252" s="137"/>
      <c r="J1252" s="137"/>
      <c r="K1252" s="137"/>
      <c r="L1252" s="137"/>
      <c r="M1252" s="137"/>
      <c r="N1252" s="137"/>
      <c r="O1252" s="137"/>
      <c r="P1252" s="137"/>
      <c r="Q1252" s="137"/>
      <c r="R1252" s="137"/>
      <c r="S1252" s="137"/>
      <c r="T1252" s="137"/>
      <c r="U1252" s="137"/>
      <c r="V1252" s="137"/>
      <c r="W1252" s="137"/>
    </row>
    <row r="1253" spans="1:23" x14ac:dyDescent="0.25">
      <c r="A1253" s="137"/>
      <c r="B1253" s="137"/>
      <c r="C1253" s="137"/>
      <c r="D1253" s="137"/>
      <c r="E1253" s="137"/>
      <c r="F1253" s="137"/>
      <c r="G1253" s="137"/>
      <c r="H1253" s="137"/>
      <c r="I1253" s="137"/>
      <c r="J1253" s="137"/>
      <c r="K1253" s="137"/>
      <c r="L1253" s="137"/>
      <c r="M1253" s="137"/>
      <c r="N1253" s="137"/>
      <c r="O1253" s="137"/>
      <c r="P1253" s="137"/>
      <c r="Q1253" s="137"/>
      <c r="R1253" s="137"/>
      <c r="S1253" s="137"/>
      <c r="T1253" s="137"/>
      <c r="U1253" s="137"/>
      <c r="V1253" s="137"/>
      <c r="W1253" s="137"/>
    </row>
    <row r="1254" spans="1:23" x14ac:dyDescent="0.25">
      <c r="A1254" s="137"/>
      <c r="B1254" s="137"/>
      <c r="C1254" s="137"/>
      <c r="D1254" s="137"/>
      <c r="E1254" s="137"/>
      <c r="F1254" s="137"/>
      <c r="G1254" s="137"/>
      <c r="H1254" s="137"/>
      <c r="I1254" s="137"/>
      <c r="J1254" s="137"/>
      <c r="K1254" s="137"/>
      <c r="L1254" s="137"/>
      <c r="M1254" s="137"/>
      <c r="N1254" s="137"/>
      <c r="O1254" s="137"/>
      <c r="P1254" s="137"/>
      <c r="Q1254" s="137"/>
      <c r="R1254" s="137"/>
      <c r="S1254" s="137"/>
      <c r="T1254" s="137"/>
      <c r="U1254" s="137"/>
      <c r="V1254" s="137"/>
      <c r="W1254" s="137"/>
    </row>
    <row r="1255" spans="1:23" x14ac:dyDescent="0.25">
      <c r="A1255" s="137"/>
      <c r="B1255" s="137"/>
      <c r="C1255" s="137"/>
      <c r="D1255" s="137"/>
      <c r="E1255" s="137"/>
      <c r="F1255" s="137"/>
      <c r="G1255" s="137"/>
      <c r="H1255" s="137"/>
      <c r="I1255" s="137"/>
      <c r="J1255" s="137"/>
      <c r="K1255" s="137"/>
      <c r="L1255" s="137"/>
      <c r="M1255" s="137"/>
      <c r="N1255" s="137"/>
      <c r="O1255" s="137"/>
      <c r="P1255" s="137"/>
      <c r="Q1255" s="137"/>
      <c r="R1255" s="137"/>
      <c r="S1255" s="137"/>
      <c r="T1255" s="137"/>
      <c r="U1255" s="137"/>
      <c r="V1255" s="137"/>
      <c r="W1255" s="137"/>
    </row>
    <row r="1256" spans="1:23" x14ac:dyDescent="0.25">
      <c r="A1256" s="137"/>
      <c r="B1256" s="137"/>
      <c r="C1256" s="137"/>
      <c r="D1256" s="137"/>
      <c r="E1256" s="137"/>
      <c r="F1256" s="137"/>
      <c r="G1256" s="137"/>
      <c r="H1256" s="137"/>
      <c r="I1256" s="137"/>
      <c r="J1256" s="137"/>
      <c r="K1256" s="137"/>
      <c r="L1256" s="137"/>
      <c r="M1256" s="137"/>
      <c r="N1256" s="137"/>
      <c r="O1256" s="137"/>
      <c r="P1256" s="137"/>
      <c r="Q1256" s="137"/>
      <c r="R1256" s="137"/>
      <c r="S1256" s="137"/>
      <c r="T1256" s="137"/>
      <c r="U1256" s="137"/>
      <c r="V1256" s="137"/>
      <c r="W1256" s="137"/>
    </row>
    <row r="1257" spans="1:23" x14ac:dyDescent="0.25">
      <c r="A1257" s="137"/>
      <c r="B1257" s="137"/>
      <c r="C1257" s="137"/>
      <c r="D1257" s="137"/>
      <c r="E1257" s="137"/>
      <c r="F1257" s="137"/>
      <c r="G1257" s="137"/>
      <c r="H1257" s="137"/>
      <c r="I1257" s="137"/>
      <c r="J1257" s="137"/>
      <c r="K1257" s="137"/>
      <c r="L1257" s="137"/>
      <c r="M1257" s="137"/>
      <c r="N1257" s="137"/>
      <c r="O1257" s="137"/>
      <c r="P1257" s="137"/>
      <c r="Q1257" s="137"/>
      <c r="R1257" s="137"/>
      <c r="S1257" s="137"/>
      <c r="T1257" s="137"/>
      <c r="U1257" s="137"/>
      <c r="V1257" s="137"/>
      <c r="W1257" s="137"/>
    </row>
    <row r="1258" spans="1:23" x14ac:dyDescent="0.25">
      <c r="A1258" s="137"/>
      <c r="B1258" s="137"/>
      <c r="C1258" s="137"/>
      <c r="D1258" s="137"/>
      <c r="E1258" s="137"/>
      <c r="F1258" s="137"/>
      <c r="G1258" s="137"/>
      <c r="H1258" s="137"/>
      <c r="I1258" s="137"/>
      <c r="J1258" s="137"/>
      <c r="K1258" s="137"/>
      <c r="L1258" s="137"/>
      <c r="M1258" s="137"/>
      <c r="N1258" s="137"/>
      <c r="O1258" s="137"/>
      <c r="P1258" s="137"/>
      <c r="Q1258" s="137"/>
      <c r="R1258" s="137"/>
      <c r="S1258" s="137"/>
      <c r="T1258" s="137"/>
      <c r="U1258" s="137"/>
      <c r="V1258" s="137"/>
      <c r="W1258" s="137"/>
    </row>
    <row r="1259" spans="1:23" x14ac:dyDescent="0.25">
      <c r="A1259" s="137"/>
      <c r="B1259" s="137"/>
      <c r="C1259" s="137"/>
      <c r="D1259" s="137"/>
      <c r="E1259" s="137"/>
      <c r="F1259" s="137"/>
      <c r="G1259" s="137"/>
      <c r="H1259" s="137"/>
      <c r="I1259" s="137"/>
      <c r="J1259" s="137"/>
      <c r="K1259" s="137"/>
      <c r="L1259" s="137"/>
      <c r="M1259" s="137"/>
      <c r="N1259" s="137"/>
      <c r="O1259" s="137"/>
      <c r="P1259" s="137"/>
      <c r="Q1259" s="137"/>
      <c r="R1259" s="137"/>
      <c r="S1259" s="137"/>
      <c r="T1259" s="137"/>
      <c r="U1259" s="137"/>
      <c r="V1259" s="137"/>
      <c r="W1259" s="137"/>
    </row>
    <row r="1260" spans="1:23" x14ac:dyDescent="0.25">
      <c r="A1260" s="137"/>
      <c r="B1260" s="137"/>
      <c r="C1260" s="137"/>
      <c r="D1260" s="137"/>
      <c r="E1260" s="137"/>
      <c r="F1260" s="137"/>
      <c r="G1260" s="137"/>
      <c r="H1260" s="137"/>
      <c r="I1260" s="137"/>
      <c r="J1260" s="137"/>
      <c r="K1260" s="137"/>
      <c r="L1260" s="137"/>
      <c r="M1260" s="137"/>
      <c r="N1260" s="137"/>
      <c r="O1260" s="137"/>
      <c r="P1260" s="137"/>
      <c r="Q1260" s="137"/>
      <c r="R1260" s="137"/>
      <c r="S1260" s="137"/>
      <c r="T1260" s="137"/>
      <c r="U1260" s="137"/>
      <c r="V1260" s="137"/>
      <c r="W1260" s="137"/>
    </row>
    <row r="1261" spans="1:23" x14ac:dyDescent="0.25">
      <c r="A1261" s="137"/>
      <c r="B1261" s="137"/>
      <c r="C1261" s="137"/>
      <c r="D1261" s="137"/>
      <c r="E1261" s="137"/>
      <c r="F1261" s="137"/>
      <c r="G1261" s="137"/>
      <c r="H1261" s="137"/>
      <c r="I1261" s="137"/>
      <c r="J1261" s="137"/>
      <c r="K1261" s="137"/>
      <c r="L1261" s="137"/>
      <c r="M1261" s="137"/>
      <c r="N1261" s="137"/>
      <c r="O1261" s="137"/>
      <c r="P1261" s="137"/>
      <c r="Q1261" s="137"/>
      <c r="R1261" s="137"/>
      <c r="S1261" s="137"/>
      <c r="T1261" s="137"/>
      <c r="U1261" s="137"/>
      <c r="V1261" s="137"/>
      <c r="W1261" s="137"/>
    </row>
    <row r="1262" spans="1:23" x14ac:dyDescent="0.25">
      <c r="A1262" s="137"/>
      <c r="B1262" s="137"/>
      <c r="C1262" s="137"/>
      <c r="D1262" s="137"/>
      <c r="E1262" s="137"/>
      <c r="F1262" s="137"/>
      <c r="G1262" s="137"/>
      <c r="H1262" s="137"/>
      <c r="I1262" s="137"/>
      <c r="J1262" s="137"/>
      <c r="K1262" s="137"/>
      <c r="L1262" s="137"/>
      <c r="M1262" s="137"/>
      <c r="N1262" s="137"/>
      <c r="O1262" s="137"/>
      <c r="P1262" s="137"/>
      <c r="Q1262" s="137"/>
      <c r="R1262" s="137"/>
      <c r="S1262" s="137"/>
      <c r="T1262" s="137"/>
      <c r="U1262" s="137"/>
      <c r="V1262" s="137"/>
      <c r="W1262" s="137"/>
    </row>
    <row r="1263" spans="1:23" x14ac:dyDescent="0.25">
      <c r="A1263" s="137"/>
      <c r="B1263" s="137"/>
      <c r="C1263" s="137"/>
      <c r="D1263" s="137"/>
      <c r="E1263" s="137"/>
      <c r="F1263" s="137"/>
      <c r="G1263" s="137"/>
      <c r="H1263" s="137"/>
      <c r="I1263" s="137"/>
      <c r="J1263" s="137"/>
      <c r="K1263" s="137"/>
      <c r="L1263" s="137"/>
      <c r="M1263" s="137"/>
      <c r="N1263" s="137"/>
      <c r="O1263" s="137"/>
      <c r="P1263" s="137"/>
      <c r="Q1263" s="137"/>
      <c r="R1263" s="137"/>
      <c r="S1263" s="137"/>
      <c r="T1263" s="137"/>
      <c r="U1263" s="137"/>
      <c r="V1263" s="137"/>
      <c r="W1263" s="137"/>
    </row>
    <row r="1264" spans="1:23" x14ac:dyDescent="0.25">
      <c r="A1264" s="137"/>
      <c r="B1264" s="137"/>
      <c r="C1264" s="137"/>
      <c r="D1264" s="137"/>
      <c r="E1264" s="137"/>
      <c r="F1264" s="137"/>
      <c r="G1264" s="137"/>
      <c r="H1264" s="137"/>
      <c r="I1264" s="137"/>
      <c r="J1264" s="137"/>
      <c r="K1264" s="137"/>
      <c r="L1264" s="137"/>
      <c r="M1264" s="137"/>
      <c r="N1264" s="137"/>
      <c r="O1264" s="137"/>
      <c r="P1264" s="137"/>
      <c r="Q1264" s="137"/>
      <c r="R1264" s="137"/>
      <c r="S1264" s="137"/>
      <c r="T1264" s="137"/>
      <c r="U1264" s="137"/>
      <c r="V1264" s="137"/>
      <c r="W1264" s="137"/>
    </row>
    <row r="1265" spans="1:23" x14ac:dyDescent="0.25">
      <c r="A1265" s="137"/>
      <c r="B1265" s="137"/>
      <c r="C1265" s="137"/>
      <c r="D1265" s="137"/>
      <c r="E1265" s="137"/>
      <c r="F1265" s="137"/>
      <c r="G1265" s="137"/>
      <c r="H1265" s="137"/>
      <c r="I1265" s="137"/>
      <c r="J1265" s="137"/>
      <c r="K1265" s="137"/>
      <c r="L1265" s="137"/>
      <c r="M1265" s="137"/>
      <c r="N1265" s="137"/>
      <c r="O1265" s="137"/>
      <c r="P1265" s="137"/>
      <c r="Q1265" s="137"/>
      <c r="R1265" s="137"/>
      <c r="S1265" s="137"/>
      <c r="T1265" s="137"/>
      <c r="U1265" s="137"/>
      <c r="V1265" s="137"/>
      <c r="W1265" s="137"/>
    </row>
    <row r="1266" spans="1:23" x14ac:dyDescent="0.25">
      <c r="A1266" s="137"/>
      <c r="B1266" s="137"/>
      <c r="C1266" s="137"/>
      <c r="D1266" s="137"/>
      <c r="E1266" s="137"/>
      <c r="F1266" s="137"/>
      <c r="G1266" s="137"/>
      <c r="H1266" s="137"/>
      <c r="I1266" s="137"/>
      <c r="J1266" s="137"/>
      <c r="K1266" s="137"/>
      <c r="L1266" s="137"/>
      <c r="M1266" s="137"/>
      <c r="N1266" s="137"/>
      <c r="O1266" s="137"/>
      <c r="P1266" s="137"/>
      <c r="Q1266" s="137"/>
      <c r="R1266" s="137"/>
      <c r="S1266" s="137"/>
      <c r="T1266" s="137"/>
      <c r="U1266" s="137"/>
      <c r="V1266" s="137"/>
      <c r="W1266" s="137"/>
    </row>
    <row r="1267" spans="1:23" x14ac:dyDescent="0.25">
      <c r="A1267" s="137"/>
      <c r="B1267" s="137"/>
      <c r="C1267" s="137"/>
      <c r="D1267" s="137"/>
      <c r="E1267" s="137"/>
      <c r="F1267" s="137"/>
      <c r="G1267" s="137"/>
      <c r="H1267" s="137"/>
      <c r="I1267" s="137"/>
      <c r="J1267" s="137"/>
      <c r="K1267" s="137"/>
      <c r="L1267" s="137"/>
      <c r="M1267" s="137"/>
      <c r="N1267" s="137"/>
      <c r="O1267" s="137"/>
      <c r="P1267" s="137"/>
      <c r="Q1267" s="137"/>
      <c r="R1267" s="137"/>
      <c r="S1267" s="137"/>
      <c r="T1267" s="137"/>
      <c r="U1267" s="137"/>
      <c r="V1267" s="137"/>
      <c r="W1267" s="137"/>
    </row>
    <row r="1268" spans="1:23" x14ac:dyDescent="0.25">
      <c r="A1268" s="137"/>
      <c r="B1268" s="137"/>
      <c r="C1268" s="137"/>
      <c r="D1268" s="137"/>
      <c r="E1268" s="137"/>
      <c r="F1268" s="137"/>
      <c r="G1268" s="137"/>
      <c r="H1268" s="137"/>
      <c r="I1268" s="137"/>
      <c r="J1268" s="137"/>
      <c r="K1268" s="137"/>
      <c r="L1268" s="137"/>
      <c r="M1268" s="137"/>
      <c r="N1268" s="137"/>
      <c r="O1268" s="137"/>
      <c r="P1268" s="137"/>
      <c r="Q1268" s="137"/>
      <c r="R1268" s="137"/>
      <c r="S1268" s="137"/>
      <c r="T1268" s="137"/>
      <c r="U1268" s="137"/>
      <c r="V1268" s="137"/>
      <c r="W1268" s="137"/>
    </row>
    <row r="1269" spans="1:23" x14ac:dyDescent="0.25">
      <c r="A1269" s="137"/>
      <c r="B1269" s="137"/>
      <c r="C1269" s="137"/>
      <c r="D1269" s="137"/>
      <c r="E1269" s="137"/>
      <c r="F1269" s="137"/>
      <c r="G1269" s="137"/>
      <c r="H1269" s="137"/>
      <c r="I1269" s="137"/>
      <c r="J1269" s="137"/>
      <c r="K1269" s="137"/>
      <c r="L1269" s="137"/>
      <c r="M1269" s="137"/>
      <c r="N1269" s="137"/>
      <c r="O1269" s="137"/>
      <c r="P1269" s="137"/>
      <c r="Q1269" s="137"/>
      <c r="R1269" s="137"/>
      <c r="S1269" s="137"/>
      <c r="T1269" s="137"/>
      <c r="U1269" s="137"/>
      <c r="V1269" s="137"/>
      <c r="W1269" s="137"/>
    </row>
    <row r="1270" spans="1:23" x14ac:dyDescent="0.25">
      <c r="A1270" s="137"/>
      <c r="B1270" s="137"/>
      <c r="C1270" s="137"/>
      <c r="D1270" s="137"/>
      <c r="E1270" s="137"/>
      <c r="F1270" s="137"/>
      <c r="G1270" s="137"/>
      <c r="H1270" s="137"/>
      <c r="I1270" s="137"/>
      <c r="J1270" s="137"/>
      <c r="K1270" s="137"/>
      <c r="L1270" s="137"/>
      <c r="M1270" s="137"/>
      <c r="N1270" s="137"/>
      <c r="O1270" s="137"/>
      <c r="P1270" s="137"/>
      <c r="Q1270" s="137"/>
      <c r="R1270" s="137"/>
      <c r="S1270" s="137"/>
      <c r="T1270" s="137"/>
      <c r="U1270" s="137"/>
      <c r="V1270" s="137"/>
      <c r="W1270" s="137"/>
    </row>
    <row r="1271" spans="1:23" x14ac:dyDescent="0.25">
      <c r="A1271" s="137"/>
      <c r="B1271" s="137"/>
      <c r="C1271" s="137"/>
      <c r="D1271" s="137"/>
      <c r="E1271" s="137"/>
      <c r="F1271" s="137"/>
      <c r="G1271" s="137"/>
      <c r="H1271" s="137"/>
      <c r="I1271" s="137"/>
      <c r="J1271" s="137"/>
      <c r="K1271" s="137"/>
      <c r="L1271" s="137"/>
      <c r="M1271" s="137"/>
      <c r="N1271" s="137"/>
      <c r="O1271" s="137"/>
      <c r="P1271" s="137"/>
      <c r="Q1271" s="137"/>
      <c r="R1271" s="137"/>
      <c r="S1271" s="137"/>
      <c r="T1271" s="137"/>
      <c r="U1271" s="137"/>
      <c r="V1271" s="137"/>
      <c r="W1271" s="137"/>
    </row>
    <row r="1272" spans="1:23" x14ac:dyDescent="0.25">
      <c r="A1272" s="137"/>
      <c r="B1272" s="137"/>
      <c r="C1272" s="137"/>
      <c r="D1272" s="137"/>
      <c r="E1272" s="137"/>
      <c r="F1272" s="137"/>
      <c r="G1272" s="137"/>
      <c r="H1272" s="137"/>
      <c r="I1272" s="137"/>
      <c r="J1272" s="137"/>
      <c r="K1272" s="137"/>
      <c r="L1272" s="137"/>
      <c r="M1272" s="137"/>
      <c r="N1272" s="137"/>
      <c r="O1272" s="137"/>
      <c r="P1272" s="137"/>
      <c r="Q1272" s="137"/>
      <c r="R1272" s="137"/>
      <c r="S1272" s="137"/>
      <c r="T1272" s="137"/>
      <c r="U1272" s="137"/>
      <c r="V1272" s="137"/>
      <c r="W1272" s="137"/>
    </row>
    <row r="1273" spans="1:23" x14ac:dyDescent="0.25">
      <c r="A1273" s="137"/>
      <c r="B1273" s="137"/>
      <c r="C1273" s="137"/>
      <c r="D1273" s="137"/>
      <c r="E1273" s="137"/>
      <c r="F1273" s="137"/>
      <c r="G1273" s="137"/>
      <c r="H1273" s="137"/>
      <c r="I1273" s="137"/>
      <c r="J1273" s="137"/>
      <c r="K1273" s="137"/>
      <c r="L1273" s="137"/>
      <c r="M1273" s="137"/>
      <c r="N1273" s="137"/>
      <c r="O1273" s="137"/>
      <c r="P1273" s="137"/>
      <c r="Q1273" s="137"/>
      <c r="R1273" s="137"/>
      <c r="S1273" s="137"/>
      <c r="T1273" s="137"/>
      <c r="U1273" s="137"/>
      <c r="V1273" s="137"/>
      <c r="W1273" s="137"/>
    </row>
    <row r="1274" spans="1:23" x14ac:dyDescent="0.25">
      <c r="A1274" s="137"/>
      <c r="B1274" s="137"/>
      <c r="C1274" s="137"/>
      <c r="D1274" s="137"/>
      <c r="E1274" s="137"/>
      <c r="F1274" s="137"/>
      <c r="G1274" s="137"/>
      <c r="H1274" s="137"/>
      <c r="I1274" s="137"/>
      <c r="J1274" s="137"/>
      <c r="K1274" s="137"/>
      <c r="L1274" s="137"/>
      <c r="M1274" s="137"/>
      <c r="N1274" s="137"/>
      <c r="O1274" s="137"/>
      <c r="P1274" s="137"/>
      <c r="Q1274" s="137"/>
      <c r="R1274" s="137"/>
      <c r="S1274" s="137"/>
      <c r="T1274" s="137"/>
      <c r="U1274" s="137"/>
      <c r="V1274" s="137"/>
      <c r="W1274" s="137"/>
    </row>
    <row r="1275" spans="1:23" x14ac:dyDescent="0.25">
      <c r="A1275" s="137"/>
      <c r="B1275" s="137"/>
      <c r="C1275" s="137"/>
      <c r="D1275" s="137"/>
      <c r="E1275" s="137"/>
      <c r="F1275" s="137"/>
      <c r="G1275" s="137"/>
      <c r="H1275" s="137"/>
      <c r="I1275" s="137"/>
      <c r="J1275" s="137"/>
      <c r="K1275" s="137"/>
      <c r="L1275" s="137"/>
      <c r="M1275" s="137"/>
      <c r="N1275" s="137"/>
      <c r="O1275" s="137"/>
      <c r="P1275" s="137"/>
      <c r="Q1275" s="137"/>
      <c r="R1275" s="137"/>
      <c r="S1275" s="137"/>
      <c r="T1275" s="137"/>
      <c r="U1275" s="137"/>
      <c r="V1275" s="137"/>
      <c r="W1275" s="137"/>
    </row>
    <row r="1276" spans="1:23" x14ac:dyDescent="0.25">
      <c r="A1276" s="137"/>
      <c r="B1276" s="137"/>
      <c r="C1276" s="137"/>
      <c r="D1276" s="137"/>
      <c r="E1276" s="137"/>
      <c r="F1276" s="137"/>
      <c r="G1276" s="137"/>
      <c r="H1276" s="137"/>
      <c r="I1276" s="137"/>
      <c r="J1276" s="137"/>
      <c r="K1276" s="137"/>
      <c r="L1276" s="137"/>
      <c r="M1276" s="137"/>
      <c r="N1276" s="137"/>
      <c r="O1276" s="137"/>
      <c r="P1276" s="137"/>
      <c r="Q1276" s="137"/>
      <c r="R1276" s="137"/>
      <c r="S1276" s="137"/>
      <c r="T1276" s="137"/>
      <c r="U1276" s="137"/>
      <c r="V1276" s="137"/>
      <c r="W1276" s="137"/>
    </row>
    <row r="1277" spans="1:23" x14ac:dyDescent="0.25">
      <c r="A1277" s="137"/>
      <c r="B1277" s="137"/>
      <c r="C1277" s="137"/>
      <c r="D1277" s="137"/>
      <c r="E1277" s="137"/>
      <c r="F1277" s="137"/>
      <c r="G1277" s="137"/>
      <c r="H1277" s="137"/>
      <c r="I1277" s="137"/>
      <c r="J1277" s="137"/>
      <c r="K1277" s="137"/>
      <c r="L1277" s="137"/>
      <c r="M1277" s="137"/>
      <c r="N1277" s="137"/>
      <c r="O1277" s="137"/>
      <c r="P1277" s="137"/>
      <c r="Q1277" s="137"/>
      <c r="R1277" s="137"/>
      <c r="S1277" s="137"/>
      <c r="T1277" s="137"/>
      <c r="U1277" s="137"/>
      <c r="V1277" s="137"/>
      <c r="W1277" s="137"/>
    </row>
    <row r="1278" spans="1:23" x14ac:dyDescent="0.25">
      <c r="A1278" s="137"/>
      <c r="B1278" s="137"/>
      <c r="C1278" s="137"/>
      <c r="D1278" s="137"/>
      <c r="E1278" s="137"/>
      <c r="F1278" s="137"/>
      <c r="G1278" s="137"/>
      <c r="H1278" s="137"/>
      <c r="I1278" s="137"/>
      <c r="J1278" s="137"/>
      <c r="K1278" s="137"/>
      <c r="L1278" s="137"/>
      <c r="M1278" s="137"/>
      <c r="N1278" s="137"/>
      <c r="O1278" s="137"/>
      <c r="P1278" s="137"/>
      <c r="Q1278" s="137"/>
      <c r="R1278" s="137"/>
      <c r="S1278" s="137"/>
      <c r="T1278" s="137"/>
      <c r="U1278" s="137"/>
      <c r="V1278" s="137"/>
      <c r="W1278" s="137"/>
    </row>
    <row r="1279" spans="1:23" x14ac:dyDescent="0.25">
      <c r="A1279" s="137"/>
      <c r="B1279" s="137"/>
      <c r="C1279" s="137"/>
      <c r="D1279" s="137"/>
      <c r="E1279" s="137"/>
      <c r="F1279" s="137"/>
      <c r="G1279" s="137"/>
      <c r="H1279" s="137"/>
      <c r="I1279" s="137"/>
      <c r="J1279" s="137"/>
      <c r="K1279" s="137"/>
      <c r="L1279" s="137"/>
      <c r="M1279" s="137"/>
      <c r="N1279" s="137"/>
      <c r="O1279" s="137"/>
      <c r="P1279" s="137"/>
      <c r="Q1279" s="137"/>
      <c r="R1279" s="137"/>
      <c r="S1279" s="137"/>
      <c r="T1279" s="137"/>
      <c r="U1279" s="137"/>
      <c r="V1279" s="137"/>
      <c r="W1279" s="137"/>
    </row>
    <row r="1280" spans="1:23" x14ac:dyDescent="0.25">
      <c r="A1280" s="137"/>
      <c r="B1280" s="137"/>
      <c r="C1280" s="137"/>
      <c r="D1280" s="137"/>
      <c r="E1280" s="137"/>
      <c r="F1280" s="137"/>
      <c r="G1280" s="137"/>
      <c r="H1280" s="137"/>
      <c r="I1280" s="137"/>
      <c r="J1280" s="137"/>
      <c r="K1280" s="137"/>
      <c r="L1280" s="137"/>
      <c r="M1280" s="137"/>
      <c r="N1280" s="137"/>
      <c r="O1280" s="137"/>
      <c r="P1280" s="137"/>
      <c r="Q1280" s="137"/>
      <c r="R1280" s="137"/>
      <c r="S1280" s="137"/>
      <c r="T1280" s="137"/>
      <c r="U1280" s="137"/>
      <c r="V1280" s="137"/>
      <c r="W1280" s="137"/>
    </row>
    <row r="1281" spans="1:23" x14ac:dyDescent="0.25">
      <c r="A1281" s="137"/>
      <c r="B1281" s="137"/>
      <c r="C1281" s="137"/>
      <c r="D1281" s="137"/>
      <c r="E1281" s="137"/>
      <c r="F1281" s="137"/>
      <c r="G1281" s="137"/>
      <c r="H1281" s="137"/>
      <c r="I1281" s="137"/>
      <c r="J1281" s="137"/>
      <c r="K1281" s="137"/>
      <c r="L1281" s="137"/>
      <c r="M1281" s="137"/>
      <c r="N1281" s="137"/>
      <c r="O1281" s="137"/>
      <c r="P1281" s="137"/>
      <c r="Q1281" s="137"/>
      <c r="R1281" s="137"/>
      <c r="S1281" s="137"/>
      <c r="T1281" s="137"/>
      <c r="U1281" s="137"/>
      <c r="V1281" s="137"/>
      <c r="W1281" s="137"/>
    </row>
    <row r="1282" spans="1:23" x14ac:dyDescent="0.25">
      <c r="A1282" s="137"/>
      <c r="B1282" s="137"/>
      <c r="C1282" s="137"/>
      <c r="D1282" s="137"/>
      <c r="E1282" s="137"/>
      <c r="F1282" s="137"/>
      <c r="G1282" s="137"/>
      <c r="H1282" s="137"/>
      <c r="I1282" s="137"/>
      <c r="J1282" s="137"/>
      <c r="K1282" s="137"/>
      <c r="L1282" s="137"/>
      <c r="M1282" s="137"/>
      <c r="N1282" s="137"/>
      <c r="O1282" s="137"/>
      <c r="P1282" s="137"/>
      <c r="Q1282" s="137"/>
      <c r="R1282" s="137"/>
      <c r="S1282" s="137"/>
      <c r="T1282" s="137"/>
      <c r="U1282" s="137"/>
      <c r="V1282" s="137"/>
      <c r="W1282" s="137"/>
    </row>
    <row r="1283" spans="1:23" x14ac:dyDescent="0.25">
      <c r="A1283" s="137"/>
      <c r="B1283" s="137"/>
      <c r="C1283" s="137"/>
      <c r="D1283" s="137"/>
      <c r="E1283" s="137"/>
      <c r="F1283" s="137"/>
      <c r="G1283" s="137"/>
      <c r="H1283" s="137"/>
      <c r="I1283" s="137"/>
      <c r="J1283" s="137"/>
      <c r="K1283" s="137"/>
      <c r="L1283" s="137"/>
      <c r="M1283" s="137"/>
      <c r="N1283" s="137"/>
      <c r="O1283" s="137"/>
      <c r="P1283" s="137"/>
      <c r="Q1283" s="137"/>
      <c r="R1283" s="137"/>
      <c r="S1283" s="137"/>
      <c r="T1283" s="137"/>
      <c r="U1283" s="137"/>
      <c r="V1283" s="137"/>
      <c r="W1283" s="137"/>
    </row>
    <row r="1284" spans="1:23" x14ac:dyDescent="0.25">
      <c r="A1284" s="137"/>
      <c r="B1284" s="137"/>
      <c r="C1284" s="137"/>
      <c r="D1284" s="137"/>
      <c r="E1284" s="137"/>
      <c r="F1284" s="137"/>
      <c r="G1284" s="137"/>
      <c r="H1284" s="137"/>
      <c r="I1284" s="137"/>
      <c r="J1284" s="137"/>
      <c r="K1284" s="137"/>
      <c r="L1284" s="137"/>
      <c r="M1284" s="137"/>
      <c r="N1284" s="137"/>
      <c r="O1284" s="137"/>
      <c r="P1284" s="137"/>
      <c r="Q1284" s="137"/>
      <c r="R1284" s="137"/>
      <c r="S1284" s="137"/>
      <c r="T1284" s="137"/>
      <c r="U1284" s="137"/>
      <c r="V1284" s="137"/>
      <c r="W1284" s="137"/>
    </row>
    <row r="1285" spans="1:23" x14ac:dyDescent="0.25">
      <c r="A1285" s="137"/>
      <c r="B1285" s="137"/>
      <c r="C1285" s="137"/>
      <c r="D1285" s="137"/>
      <c r="E1285" s="137"/>
      <c r="F1285" s="137"/>
      <c r="G1285" s="137"/>
      <c r="H1285" s="137"/>
      <c r="I1285" s="137"/>
      <c r="J1285" s="137"/>
      <c r="K1285" s="137"/>
      <c r="L1285" s="137"/>
      <c r="M1285" s="137"/>
      <c r="N1285" s="137"/>
      <c r="O1285" s="137"/>
      <c r="P1285" s="137"/>
      <c r="Q1285" s="137"/>
      <c r="R1285" s="137"/>
      <c r="S1285" s="137"/>
      <c r="T1285" s="137"/>
      <c r="U1285" s="137"/>
      <c r="V1285" s="137"/>
      <c r="W1285" s="137"/>
    </row>
    <row r="1286" spans="1:23" x14ac:dyDescent="0.25">
      <c r="A1286" s="137"/>
      <c r="B1286" s="137"/>
      <c r="C1286" s="137"/>
      <c r="D1286" s="137"/>
      <c r="E1286" s="137"/>
      <c r="F1286" s="137"/>
      <c r="G1286" s="137"/>
      <c r="H1286" s="137"/>
      <c r="I1286" s="137"/>
      <c r="J1286" s="137"/>
      <c r="K1286" s="137"/>
      <c r="L1286" s="137"/>
      <c r="M1286" s="137"/>
      <c r="N1286" s="137"/>
      <c r="O1286" s="137"/>
      <c r="P1286" s="137"/>
      <c r="Q1286" s="137"/>
      <c r="R1286" s="137"/>
      <c r="S1286" s="137"/>
      <c r="T1286" s="137"/>
      <c r="U1286" s="137"/>
      <c r="V1286" s="137"/>
      <c r="W1286" s="137"/>
    </row>
    <row r="1287" spans="1:23" x14ac:dyDescent="0.25">
      <c r="A1287" s="137"/>
      <c r="B1287" s="137"/>
      <c r="C1287" s="137"/>
      <c r="D1287" s="137"/>
      <c r="E1287" s="137"/>
      <c r="F1287" s="137"/>
      <c r="G1287" s="137"/>
      <c r="H1287" s="137"/>
      <c r="I1287" s="137"/>
      <c r="J1287" s="137"/>
      <c r="K1287" s="137"/>
      <c r="L1287" s="137"/>
      <c r="M1287" s="137"/>
      <c r="N1287" s="137"/>
      <c r="O1287" s="137"/>
      <c r="P1287" s="137"/>
      <c r="Q1287" s="137"/>
      <c r="R1287" s="137"/>
      <c r="S1287" s="137"/>
      <c r="T1287" s="137"/>
      <c r="U1287" s="137"/>
      <c r="V1287" s="137"/>
      <c r="W1287" s="137"/>
    </row>
    <row r="1288" spans="1:23" x14ac:dyDescent="0.25">
      <c r="A1288" s="137"/>
      <c r="B1288" s="137"/>
      <c r="C1288" s="137"/>
      <c r="D1288" s="137"/>
      <c r="E1288" s="137"/>
      <c r="F1288" s="137"/>
      <c r="G1288" s="137"/>
      <c r="H1288" s="137"/>
      <c r="I1288" s="137"/>
      <c r="J1288" s="137"/>
      <c r="K1288" s="137"/>
      <c r="L1288" s="137"/>
      <c r="M1288" s="137"/>
      <c r="N1288" s="137"/>
      <c r="O1288" s="137"/>
      <c r="P1288" s="137"/>
      <c r="Q1288" s="137"/>
      <c r="R1288" s="137"/>
      <c r="S1288" s="137"/>
      <c r="T1288" s="137"/>
      <c r="U1288" s="137"/>
      <c r="V1288" s="137"/>
      <c r="W1288" s="137"/>
    </row>
    <row r="1289" spans="1:23" x14ac:dyDescent="0.25">
      <c r="A1289" s="137"/>
      <c r="B1289" s="137"/>
      <c r="C1289" s="137"/>
      <c r="D1289" s="137"/>
      <c r="E1289" s="137"/>
      <c r="F1289" s="137"/>
      <c r="G1289" s="137"/>
      <c r="H1289" s="137"/>
      <c r="I1289" s="137"/>
      <c r="J1289" s="137"/>
      <c r="K1289" s="137"/>
      <c r="L1289" s="137"/>
      <c r="M1289" s="137"/>
      <c r="N1289" s="137"/>
      <c r="O1289" s="137"/>
      <c r="P1289" s="137"/>
      <c r="Q1289" s="137"/>
      <c r="R1289" s="137"/>
      <c r="S1289" s="137"/>
      <c r="T1289" s="137"/>
      <c r="U1289" s="137"/>
      <c r="V1289" s="137"/>
      <c r="W1289" s="137"/>
    </row>
    <row r="1290" spans="1:23" x14ac:dyDescent="0.25">
      <c r="A1290" s="137"/>
      <c r="B1290" s="137"/>
      <c r="C1290" s="137"/>
      <c r="D1290" s="137"/>
      <c r="E1290" s="137"/>
      <c r="F1290" s="137"/>
      <c r="G1290" s="137"/>
      <c r="H1290" s="137"/>
      <c r="I1290" s="137"/>
      <c r="J1290" s="137"/>
      <c r="K1290" s="137"/>
      <c r="L1290" s="137"/>
      <c r="M1290" s="137"/>
      <c r="N1290" s="137"/>
      <c r="O1290" s="137"/>
      <c r="P1290" s="137"/>
      <c r="Q1290" s="137"/>
      <c r="R1290" s="137"/>
      <c r="S1290" s="137"/>
      <c r="T1290" s="137"/>
      <c r="U1290" s="137"/>
      <c r="V1290" s="137"/>
      <c r="W1290" s="137"/>
    </row>
    <row r="1291" spans="1:23" x14ac:dyDescent="0.25">
      <c r="A1291" s="137"/>
      <c r="B1291" s="137"/>
      <c r="C1291" s="137"/>
      <c r="D1291" s="137"/>
      <c r="E1291" s="137"/>
      <c r="F1291" s="137"/>
      <c r="G1291" s="137"/>
      <c r="H1291" s="137"/>
      <c r="I1291" s="137"/>
      <c r="J1291" s="137"/>
      <c r="K1291" s="137"/>
      <c r="L1291" s="137"/>
      <c r="M1291" s="137"/>
      <c r="N1291" s="137"/>
      <c r="O1291" s="137"/>
      <c r="P1291" s="137"/>
      <c r="Q1291" s="137"/>
      <c r="R1291" s="137"/>
      <c r="S1291" s="137"/>
      <c r="T1291" s="137"/>
      <c r="U1291" s="137"/>
      <c r="V1291" s="137"/>
      <c r="W1291" s="137"/>
    </row>
    <row r="1292" spans="1:23" x14ac:dyDescent="0.25">
      <c r="A1292" s="137"/>
      <c r="B1292" s="137"/>
      <c r="C1292" s="137"/>
      <c r="D1292" s="137"/>
      <c r="E1292" s="137"/>
      <c r="F1292" s="137"/>
      <c r="G1292" s="137"/>
      <c r="H1292" s="137"/>
      <c r="I1292" s="137"/>
      <c r="J1292" s="137"/>
      <c r="K1292" s="137"/>
      <c r="L1292" s="137"/>
      <c r="M1292" s="137"/>
      <c r="N1292" s="137"/>
      <c r="O1292" s="137"/>
      <c r="P1292" s="137"/>
      <c r="Q1292" s="137"/>
      <c r="R1292" s="137"/>
      <c r="S1292" s="137"/>
      <c r="T1292" s="137"/>
      <c r="U1292" s="137"/>
      <c r="V1292" s="137"/>
      <c r="W1292" s="137"/>
    </row>
    <row r="1293" spans="1:23" x14ac:dyDescent="0.25">
      <c r="A1293" s="137"/>
      <c r="B1293" s="137"/>
      <c r="C1293" s="137"/>
      <c r="D1293" s="137"/>
      <c r="E1293" s="137"/>
      <c r="F1293" s="137"/>
      <c r="G1293" s="137"/>
      <c r="H1293" s="137"/>
      <c r="I1293" s="137"/>
      <c r="J1293" s="137"/>
      <c r="K1293" s="137"/>
      <c r="L1293" s="137"/>
      <c r="M1293" s="137"/>
      <c r="N1293" s="137"/>
      <c r="O1293" s="137"/>
      <c r="P1293" s="137"/>
      <c r="Q1293" s="137"/>
      <c r="R1293" s="137"/>
      <c r="S1293" s="137"/>
      <c r="T1293" s="137"/>
      <c r="U1293" s="137"/>
      <c r="V1293" s="137"/>
      <c r="W1293" s="137"/>
    </row>
    <row r="1294" spans="1:23" x14ac:dyDescent="0.25">
      <c r="A1294" s="137"/>
      <c r="B1294" s="137"/>
      <c r="C1294" s="137"/>
      <c r="D1294" s="137"/>
      <c r="E1294" s="137"/>
      <c r="F1294" s="137"/>
      <c r="G1294" s="137"/>
      <c r="H1294" s="137"/>
      <c r="I1294" s="137"/>
      <c r="J1294" s="137"/>
      <c r="K1294" s="137"/>
      <c r="L1294" s="137"/>
      <c r="M1294" s="137"/>
      <c r="N1294" s="137"/>
      <c r="O1294" s="137"/>
      <c r="P1294" s="137"/>
      <c r="Q1294" s="137"/>
      <c r="R1294" s="137"/>
      <c r="S1294" s="137"/>
      <c r="T1294" s="137"/>
      <c r="U1294" s="137"/>
      <c r="V1294" s="137"/>
      <c r="W1294" s="137"/>
    </row>
    <row r="1295" spans="1:23" x14ac:dyDescent="0.25">
      <c r="A1295" s="137"/>
      <c r="B1295" s="137"/>
      <c r="C1295" s="137"/>
      <c r="D1295" s="137"/>
      <c r="E1295" s="137"/>
      <c r="F1295" s="137"/>
      <c r="G1295" s="137"/>
      <c r="H1295" s="137"/>
      <c r="I1295" s="137"/>
      <c r="J1295" s="137"/>
      <c r="K1295" s="137"/>
      <c r="L1295" s="137"/>
      <c r="M1295" s="137"/>
      <c r="N1295" s="137"/>
      <c r="O1295" s="137"/>
      <c r="P1295" s="137"/>
      <c r="Q1295" s="137"/>
      <c r="R1295" s="137"/>
      <c r="S1295" s="137"/>
      <c r="T1295" s="137"/>
      <c r="U1295" s="137"/>
      <c r="V1295" s="137"/>
      <c r="W1295" s="137"/>
    </row>
    <row r="1296" spans="1:23" x14ac:dyDescent="0.25">
      <c r="A1296" s="137"/>
      <c r="B1296" s="137"/>
      <c r="C1296" s="137"/>
      <c r="D1296" s="137"/>
      <c r="E1296" s="137"/>
      <c r="F1296" s="137"/>
      <c r="G1296" s="137"/>
      <c r="H1296" s="137"/>
      <c r="I1296" s="137"/>
      <c r="J1296" s="137"/>
      <c r="K1296" s="137"/>
      <c r="L1296" s="137"/>
      <c r="M1296" s="137"/>
      <c r="N1296" s="137"/>
      <c r="O1296" s="137"/>
      <c r="P1296" s="137"/>
      <c r="Q1296" s="137"/>
      <c r="R1296" s="137"/>
      <c r="S1296" s="137"/>
      <c r="T1296" s="137"/>
      <c r="U1296" s="137"/>
      <c r="V1296" s="137"/>
      <c r="W1296" s="137"/>
    </row>
    <row r="1297" spans="1:23" x14ac:dyDescent="0.25">
      <c r="A1297" s="137"/>
      <c r="B1297" s="137"/>
      <c r="C1297" s="137"/>
      <c r="D1297" s="137"/>
      <c r="E1297" s="137"/>
      <c r="F1297" s="137"/>
      <c r="G1297" s="137"/>
      <c r="H1297" s="137"/>
      <c r="I1297" s="137"/>
      <c r="J1297" s="137"/>
      <c r="K1297" s="137"/>
      <c r="L1297" s="137"/>
      <c r="M1297" s="137"/>
      <c r="N1297" s="137"/>
      <c r="O1297" s="137"/>
      <c r="P1297" s="137"/>
      <c r="Q1297" s="137"/>
      <c r="R1297" s="137"/>
      <c r="S1297" s="137"/>
      <c r="T1297" s="137"/>
      <c r="U1297" s="137"/>
      <c r="V1297" s="137"/>
      <c r="W1297" s="137"/>
    </row>
    <row r="1298" spans="1:23" x14ac:dyDescent="0.25">
      <c r="A1298" s="137"/>
      <c r="B1298" s="137"/>
      <c r="C1298" s="137"/>
      <c r="D1298" s="137"/>
      <c r="E1298" s="137"/>
      <c r="F1298" s="137"/>
      <c r="G1298" s="137"/>
      <c r="H1298" s="137"/>
      <c r="I1298" s="137"/>
      <c r="J1298" s="137"/>
      <c r="K1298" s="137"/>
      <c r="L1298" s="137"/>
      <c r="M1298" s="137"/>
      <c r="N1298" s="137"/>
      <c r="O1298" s="137"/>
      <c r="P1298" s="137"/>
      <c r="Q1298" s="137"/>
      <c r="R1298" s="137"/>
      <c r="S1298" s="137"/>
      <c r="T1298" s="137"/>
      <c r="U1298" s="137"/>
      <c r="V1298" s="137"/>
      <c r="W1298" s="137"/>
    </row>
    <row r="1299" spans="1:23" x14ac:dyDescent="0.25">
      <c r="A1299" s="137"/>
      <c r="B1299" s="137"/>
      <c r="C1299" s="137"/>
      <c r="D1299" s="137"/>
      <c r="E1299" s="137"/>
      <c r="F1299" s="137"/>
      <c r="G1299" s="137"/>
      <c r="H1299" s="137"/>
      <c r="I1299" s="137"/>
      <c r="J1299" s="137"/>
      <c r="K1299" s="137"/>
      <c r="L1299" s="137"/>
      <c r="M1299" s="137"/>
      <c r="N1299" s="137"/>
      <c r="O1299" s="137"/>
      <c r="P1299" s="137"/>
      <c r="Q1299" s="137"/>
      <c r="R1299" s="137"/>
      <c r="S1299" s="137"/>
      <c r="T1299" s="137"/>
      <c r="U1299" s="137"/>
      <c r="V1299" s="137"/>
      <c r="W1299" s="137"/>
    </row>
    <row r="1300" spans="1:23" x14ac:dyDescent="0.25">
      <c r="A1300" s="137"/>
      <c r="B1300" s="137"/>
      <c r="C1300" s="137"/>
      <c r="D1300" s="137"/>
      <c r="E1300" s="137"/>
      <c r="F1300" s="137"/>
      <c r="G1300" s="137"/>
      <c r="H1300" s="137"/>
      <c r="I1300" s="137"/>
      <c r="J1300" s="137"/>
      <c r="K1300" s="137"/>
      <c r="L1300" s="137"/>
      <c r="M1300" s="137"/>
      <c r="N1300" s="137"/>
      <c r="O1300" s="137"/>
      <c r="P1300" s="137"/>
      <c r="Q1300" s="137"/>
      <c r="R1300" s="137"/>
      <c r="S1300" s="137"/>
      <c r="T1300" s="137"/>
      <c r="U1300" s="137"/>
      <c r="V1300" s="137"/>
      <c r="W1300" s="137"/>
    </row>
    <row r="1301" spans="1:23" x14ac:dyDescent="0.25">
      <c r="A1301" s="137"/>
      <c r="B1301" s="137"/>
      <c r="C1301" s="137"/>
      <c r="D1301" s="137"/>
      <c r="E1301" s="137"/>
      <c r="F1301" s="137"/>
      <c r="G1301" s="137"/>
      <c r="H1301" s="137"/>
      <c r="I1301" s="137"/>
      <c r="J1301" s="137"/>
      <c r="K1301" s="137"/>
      <c r="L1301" s="137"/>
      <c r="M1301" s="137"/>
      <c r="N1301" s="137"/>
      <c r="O1301" s="137"/>
      <c r="P1301" s="137"/>
      <c r="Q1301" s="137"/>
      <c r="R1301" s="137"/>
      <c r="S1301" s="137"/>
      <c r="T1301" s="137"/>
      <c r="U1301" s="137"/>
      <c r="V1301" s="137"/>
      <c r="W1301" s="137"/>
    </row>
    <row r="1302" spans="1:23" x14ac:dyDescent="0.25">
      <c r="A1302" s="137"/>
      <c r="B1302" s="137"/>
      <c r="C1302" s="137"/>
      <c r="D1302" s="137"/>
      <c r="E1302" s="137"/>
      <c r="F1302" s="137"/>
      <c r="G1302" s="137"/>
      <c r="H1302" s="137"/>
      <c r="I1302" s="137"/>
      <c r="J1302" s="137"/>
      <c r="K1302" s="137"/>
      <c r="L1302" s="137"/>
      <c r="M1302" s="137"/>
      <c r="N1302" s="137"/>
      <c r="O1302" s="137"/>
      <c r="P1302" s="137"/>
      <c r="Q1302" s="137"/>
      <c r="R1302" s="137"/>
      <c r="S1302" s="137"/>
      <c r="T1302" s="137"/>
      <c r="U1302" s="137"/>
      <c r="V1302" s="137"/>
      <c r="W1302" s="137"/>
    </row>
    <row r="1303" spans="1:23" x14ac:dyDescent="0.25">
      <c r="A1303" s="137"/>
      <c r="B1303" s="137"/>
      <c r="C1303" s="137"/>
      <c r="D1303" s="137"/>
      <c r="E1303" s="137"/>
      <c r="F1303" s="137"/>
      <c r="G1303" s="137"/>
      <c r="H1303" s="137"/>
      <c r="I1303" s="137"/>
      <c r="J1303" s="137"/>
      <c r="K1303" s="137"/>
      <c r="L1303" s="137"/>
      <c r="M1303" s="137"/>
      <c r="N1303" s="137"/>
      <c r="O1303" s="137"/>
      <c r="P1303" s="137"/>
      <c r="Q1303" s="137"/>
      <c r="R1303" s="137"/>
      <c r="S1303" s="137"/>
      <c r="T1303" s="137"/>
      <c r="U1303" s="137"/>
      <c r="V1303" s="137"/>
      <c r="W1303" s="137"/>
    </row>
    <row r="1304" spans="1:23" x14ac:dyDescent="0.25">
      <c r="A1304" s="137"/>
      <c r="B1304" s="137"/>
      <c r="C1304" s="137"/>
      <c r="D1304" s="137"/>
      <c r="E1304" s="137"/>
      <c r="F1304" s="137"/>
      <c r="G1304" s="137"/>
      <c r="H1304" s="137"/>
      <c r="I1304" s="137"/>
      <c r="J1304" s="137"/>
      <c r="K1304" s="137"/>
      <c r="L1304" s="137"/>
      <c r="M1304" s="137"/>
      <c r="N1304" s="137"/>
      <c r="O1304" s="137"/>
      <c r="P1304" s="137"/>
      <c r="Q1304" s="137"/>
      <c r="R1304" s="137"/>
      <c r="S1304" s="137"/>
      <c r="T1304" s="137"/>
      <c r="U1304" s="137"/>
      <c r="V1304" s="137"/>
      <c r="W1304" s="137"/>
    </row>
    <row r="1305" spans="1:23" x14ac:dyDescent="0.25">
      <c r="A1305" s="137"/>
      <c r="B1305" s="137"/>
      <c r="C1305" s="137"/>
      <c r="D1305" s="137"/>
      <c r="E1305" s="137"/>
      <c r="F1305" s="137"/>
      <c r="G1305" s="137"/>
      <c r="H1305" s="137"/>
      <c r="I1305" s="137"/>
      <c r="J1305" s="137"/>
      <c r="K1305" s="137"/>
      <c r="L1305" s="137"/>
      <c r="M1305" s="137"/>
      <c r="N1305" s="137"/>
      <c r="O1305" s="137"/>
      <c r="P1305" s="137"/>
      <c r="Q1305" s="137"/>
      <c r="R1305" s="137"/>
      <c r="S1305" s="137"/>
      <c r="T1305" s="137"/>
      <c r="U1305" s="137"/>
      <c r="V1305" s="137"/>
      <c r="W1305" s="137"/>
    </row>
    <row r="1306" spans="1:23" x14ac:dyDescent="0.25">
      <c r="A1306" s="137"/>
      <c r="B1306" s="137"/>
      <c r="C1306" s="137"/>
      <c r="D1306" s="137"/>
      <c r="E1306" s="137"/>
      <c r="F1306" s="137"/>
      <c r="G1306" s="137"/>
      <c r="H1306" s="137"/>
      <c r="I1306" s="137"/>
      <c r="J1306" s="137"/>
      <c r="K1306" s="137"/>
      <c r="L1306" s="137"/>
      <c r="M1306" s="137"/>
      <c r="N1306" s="137"/>
      <c r="O1306" s="137"/>
      <c r="P1306" s="137"/>
      <c r="Q1306" s="137"/>
      <c r="R1306" s="137"/>
      <c r="S1306" s="137"/>
      <c r="T1306" s="137"/>
      <c r="U1306" s="137"/>
      <c r="V1306" s="137"/>
      <c r="W1306" s="137"/>
    </row>
    <row r="1307" spans="1:23" x14ac:dyDescent="0.25">
      <c r="A1307" s="137"/>
      <c r="B1307" s="137"/>
      <c r="C1307" s="137"/>
      <c r="D1307" s="137"/>
      <c r="E1307" s="137"/>
      <c r="F1307" s="137"/>
      <c r="G1307" s="137"/>
      <c r="H1307" s="137"/>
      <c r="I1307" s="137"/>
      <c r="J1307" s="137"/>
      <c r="K1307" s="137"/>
      <c r="L1307" s="137"/>
      <c r="M1307" s="137"/>
      <c r="N1307" s="137"/>
      <c r="O1307" s="137"/>
      <c r="P1307" s="137"/>
      <c r="Q1307" s="137"/>
      <c r="R1307" s="137"/>
      <c r="S1307" s="137"/>
      <c r="T1307" s="137"/>
      <c r="U1307" s="137"/>
      <c r="V1307" s="137"/>
      <c r="W1307" s="137"/>
    </row>
    <row r="1308" spans="1:23" x14ac:dyDescent="0.25">
      <c r="A1308" s="137"/>
      <c r="B1308" s="137"/>
      <c r="C1308" s="137"/>
      <c r="D1308" s="137"/>
      <c r="E1308" s="137"/>
      <c r="F1308" s="137"/>
      <c r="G1308" s="137"/>
      <c r="H1308" s="137"/>
      <c r="I1308" s="137"/>
      <c r="J1308" s="137"/>
      <c r="K1308" s="137"/>
      <c r="L1308" s="137"/>
      <c r="M1308" s="137"/>
      <c r="N1308" s="137"/>
      <c r="O1308" s="137"/>
      <c r="P1308" s="137"/>
      <c r="Q1308" s="137"/>
      <c r="R1308" s="137"/>
      <c r="S1308" s="137"/>
      <c r="T1308" s="137"/>
      <c r="U1308" s="137"/>
      <c r="V1308" s="137"/>
      <c r="W1308" s="137"/>
    </row>
    <row r="1309" spans="1:23" x14ac:dyDescent="0.25">
      <c r="A1309" s="137"/>
      <c r="B1309" s="137"/>
      <c r="C1309" s="137"/>
      <c r="D1309" s="137"/>
      <c r="E1309" s="137"/>
      <c r="F1309" s="137"/>
      <c r="G1309" s="137"/>
      <c r="H1309" s="137"/>
      <c r="I1309" s="137"/>
      <c r="J1309" s="137"/>
      <c r="K1309" s="137"/>
      <c r="L1309" s="137"/>
      <c r="M1309" s="137"/>
      <c r="N1309" s="137"/>
      <c r="O1309" s="137"/>
      <c r="P1309" s="137"/>
      <c r="Q1309" s="137"/>
      <c r="R1309" s="137"/>
      <c r="S1309" s="137"/>
      <c r="T1309" s="137"/>
      <c r="U1309" s="137"/>
      <c r="V1309" s="137"/>
      <c r="W1309" s="137"/>
    </row>
    <row r="1310" spans="1:23" x14ac:dyDescent="0.25">
      <c r="A1310" s="137"/>
      <c r="B1310" s="137"/>
      <c r="C1310" s="137"/>
      <c r="D1310" s="137"/>
      <c r="E1310" s="137"/>
      <c r="F1310" s="137"/>
      <c r="G1310" s="137"/>
      <c r="H1310" s="137"/>
      <c r="I1310" s="137"/>
      <c r="J1310" s="137"/>
      <c r="K1310" s="137"/>
      <c r="L1310" s="137"/>
      <c r="M1310" s="137"/>
      <c r="N1310" s="137"/>
      <c r="O1310" s="137"/>
      <c r="P1310" s="137"/>
      <c r="Q1310" s="137"/>
      <c r="R1310" s="137"/>
      <c r="S1310" s="137"/>
      <c r="T1310" s="137"/>
      <c r="U1310" s="137"/>
      <c r="V1310" s="137"/>
      <c r="W1310" s="137"/>
    </row>
    <row r="1311" spans="1:23" x14ac:dyDescent="0.25">
      <c r="A1311" s="137"/>
      <c r="B1311" s="137"/>
      <c r="C1311" s="137"/>
      <c r="D1311" s="137"/>
      <c r="E1311" s="137"/>
      <c r="F1311" s="137"/>
      <c r="G1311" s="137"/>
      <c r="H1311" s="137"/>
      <c r="I1311" s="137"/>
      <c r="J1311" s="137"/>
      <c r="K1311" s="137"/>
      <c r="L1311" s="137"/>
      <c r="M1311" s="137"/>
      <c r="N1311" s="137"/>
      <c r="O1311" s="137"/>
      <c r="P1311" s="137"/>
      <c r="Q1311" s="137"/>
      <c r="R1311" s="137"/>
      <c r="S1311" s="137"/>
      <c r="T1311" s="137"/>
      <c r="U1311" s="137"/>
      <c r="V1311" s="137"/>
      <c r="W1311" s="137"/>
    </row>
    <row r="1312" spans="1:23" x14ac:dyDescent="0.25">
      <c r="A1312" s="137"/>
      <c r="B1312" s="137"/>
      <c r="C1312" s="137"/>
      <c r="D1312" s="137"/>
      <c r="E1312" s="137"/>
      <c r="F1312" s="137"/>
      <c r="G1312" s="137"/>
      <c r="H1312" s="137"/>
      <c r="I1312" s="137"/>
      <c r="J1312" s="137"/>
      <c r="K1312" s="137"/>
      <c r="L1312" s="137"/>
      <c r="M1312" s="137"/>
      <c r="N1312" s="137"/>
      <c r="O1312" s="137"/>
      <c r="P1312" s="137"/>
      <c r="Q1312" s="137"/>
      <c r="R1312" s="137"/>
      <c r="S1312" s="137"/>
      <c r="T1312" s="137"/>
      <c r="U1312" s="137"/>
      <c r="V1312" s="137"/>
      <c r="W1312" s="137"/>
    </row>
    <row r="1313" spans="1:23" x14ac:dyDescent="0.25">
      <c r="A1313" s="137"/>
      <c r="B1313" s="137"/>
      <c r="C1313" s="137"/>
      <c r="D1313" s="137"/>
      <c r="E1313" s="137"/>
      <c r="F1313" s="137"/>
      <c r="G1313" s="137"/>
      <c r="H1313" s="137"/>
      <c r="I1313" s="137"/>
      <c r="J1313" s="137"/>
      <c r="K1313" s="137"/>
      <c r="L1313" s="137"/>
      <c r="M1313" s="137"/>
      <c r="N1313" s="137"/>
      <c r="O1313" s="137"/>
      <c r="P1313" s="137"/>
      <c r="Q1313" s="137"/>
      <c r="R1313" s="137"/>
      <c r="S1313" s="137"/>
      <c r="T1313" s="137"/>
      <c r="U1313" s="137"/>
      <c r="V1313" s="137"/>
      <c r="W1313" s="137"/>
    </row>
    <row r="1314" spans="1:23" x14ac:dyDescent="0.25">
      <c r="A1314" s="137"/>
      <c r="B1314" s="137"/>
      <c r="C1314" s="137"/>
      <c r="D1314" s="137"/>
      <c r="E1314" s="137"/>
      <c r="F1314" s="137"/>
      <c r="G1314" s="137"/>
      <c r="H1314" s="137"/>
      <c r="I1314" s="137"/>
      <c r="J1314" s="137"/>
      <c r="K1314" s="137"/>
      <c r="L1314" s="137"/>
      <c r="M1314" s="137"/>
      <c r="N1314" s="137"/>
      <c r="O1314" s="137"/>
      <c r="P1314" s="137"/>
      <c r="Q1314" s="137"/>
      <c r="R1314" s="137"/>
      <c r="S1314" s="137"/>
      <c r="T1314" s="137"/>
      <c r="U1314" s="137"/>
      <c r="V1314" s="137"/>
      <c r="W1314" s="137"/>
    </row>
    <row r="1315" spans="1:23" x14ac:dyDescent="0.25">
      <c r="A1315" s="137"/>
      <c r="B1315" s="137"/>
      <c r="C1315" s="137"/>
      <c r="D1315" s="137"/>
      <c r="E1315" s="137"/>
      <c r="F1315" s="137"/>
      <c r="G1315" s="137"/>
      <c r="H1315" s="137"/>
      <c r="I1315" s="137"/>
      <c r="J1315" s="137"/>
      <c r="K1315" s="137"/>
      <c r="L1315" s="137"/>
      <c r="M1315" s="137"/>
      <c r="N1315" s="137"/>
      <c r="O1315" s="137"/>
      <c r="P1315" s="137"/>
      <c r="Q1315" s="137"/>
      <c r="R1315" s="137"/>
      <c r="S1315" s="137"/>
      <c r="T1315" s="137"/>
      <c r="U1315" s="137"/>
      <c r="V1315" s="137"/>
      <c r="W1315" s="137"/>
    </row>
    <row r="1316" spans="1:23" x14ac:dyDescent="0.25">
      <c r="A1316" s="137"/>
      <c r="B1316" s="137"/>
      <c r="C1316" s="137"/>
      <c r="D1316" s="137"/>
      <c r="E1316" s="137"/>
      <c r="F1316" s="137"/>
      <c r="G1316" s="137"/>
      <c r="H1316" s="137"/>
      <c r="I1316" s="137"/>
      <c r="J1316" s="137"/>
      <c r="K1316" s="137"/>
      <c r="L1316" s="137"/>
      <c r="M1316" s="137"/>
      <c r="N1316" s="137"/>
      <c r="O1316" s="137"/>
      <c r="P1316" s="137"/>
      <c r="Q1316" s="137"/>
      <c r="R1316" s="137"/>
      <c r="S1316" s="137"/>
      <c r="T1316" s="137"/>
      <c r="U1316" s="137"/>
      <c r="V1316" s="137"/>
      <c r="W1316" s="137"/>
    </row>
    <row r="1317" spans="1:23" x14ac:dyDescent="0.25">
      <c r="A1317" s="137"/>
      <c r="B1317" s="137"/>
      <c r="C1317" s="137"/>
      <c r="D1317" s="137"/>
      <c r="E1317" s="137"/>
      <c r="F1317" s="137"/>
      <c r="G1317" s="137"/>
      <c r="H1317" s="137"/>
      <c r="I1317" s="137"/>
      <c r="J1317" s="137"/>
      <c r="K1317" s="137"/>
      <c r="L1317" s="137"/>
      <c r="M1317" s="137"/>
      <c r="N1317" s="137"/>
      <c r="O1317" s="137"/>
      <c r="P1317" s="137"/>
      <c r="Q1317" s="137"/>
      <c r="R1317" s="137"/>
      <c r="S1317" s="137"/>
      <c r="T1317" s="137"/>
      <c r="U1317" s="137"/>
      <c r="V1317" s="137"/>
      <c r="W1317" s="137"/>
    </row>
    <row r="1318" spans="1:23" x14ac:dyDescent="0.25">
      <c r="A1318" s="137"/>
      <c r="B1318" s="137"/>
      <c r="C1318" s="137"/>
      <c r="D1318" s="137"/>
      <c r="E1318" s="137"/>
      <c r="F1318" s="137"/>
      <c r="G1318" s="137"/>
      <c r="H1318" s="137"/>
      <c r="I1318" s="137"/>
      <c r="J1318" s="137"/>
      <c r="K1318" s="137"/>
      <c r="L1318" s="137"/>
      <c r="M1318" s="137"/>
      <c r="N1318" s="137"/>
      <c r="O1318" s="137"/>
      <c r="P1318" s="137"/>
      <c r="Q1318" s="137"/>
      <c r="R1318" s="137"/>
      <c r="S1318" s="137"/>
      <c r="T1318" s="137"/>
      <c r="U1318" s="137"/>
      <c r="V1318" s="137"/>
      <c r="W1318" s="137"/>
    </row>
    <row r="1319" spans="1:23" x14ac:dyDescent="0.25">
      <c r="A1319" s="137"/>
      <c r="B1319" s="137"/>
      <c r="C1319" s="137"/>
      <c r="D1319" s="137"/>
      <c r="E1319" s="137"/>
      <c r="F1319" s="137"/>
      <c r="G1319" s="137"/>
      <c r="H1319" s="137"/>
      <c r="I1319" s="137"/>
      <c r="J1319" s="137"/>
      <c r="K1319" s="137"/>
      <c r="L1319" s="137"/>
      <c r="M1319" s="137"/>
      <c r="N1319" s="137"/>
      <c r="O1319" s="137"/>
      <c r="P1319" s="137"/>
      <c r="Q1319" s="137"/>
      <c r="R1319" s="137"/>
      <c r="S1319" s="137"/>
      <c r="T1319" s="137"/>
      <c r="U1319" s="137"/>
      <c r="V1319" s="137"/>
      <c r="W1319" s="137"/>
    </row>
    <row r="1320" spans="1:23" x14ac:dyDescent="0.25">
      <c r="A1320" s="137"/>
      <c r="B1320" s="137"/>
      <c r="C1320" s="137"/>
      <c r="D1320" s="137"/>
      <c r="E1320" s="137"/>
      <c r="F1320" s="137"/>
      <c r="G1320" s="137"/>
      <c r="H1320" s="137"/>
      <c r="I1320" s="137"/>
      <c r="J1320" s="137"/>
      <c r="K1320" s="137"/>
      <c r="L1320" s="137"/>
      <c r="M1320" s="137"/>
      <c r="N1320" s="137"/>
      <c r="O1320" s="137"/>
      <c r="P1320" s="137"/>
      <c r="Q1320" s="137"/>
      <c r="R1320" s="137"/>
      <c r="S1320" s="137"/>
      <c r="T1320" s="137"/>
      <c r="U1320" s="137"/>
      <c r="V1320" s="137"/>
      <c r="W1320" s="137"/>
    </row>
    <row r="1321" spans="1:23" x14ac:dyDescent="0.25">
      <c r="A1321" s="137"/>
      <c r="B1321" s="137"/>
      <c r="C1321" s="137"/>
      <c r="D1321" s="137"/>
      <c r="E1321" s="137"/>
      <c r="F1321" s="137"/>
      <c r="G1321" s="137"/>
      <c r="H1321" s="137"/>
      <c r="I1321" s="137"/>
      <c r="J1321" s="137"/>
      <c r="K1321" s="137"/>
      <c r="L1321" s="137"/>
      <c r="M1321" s="137"/>
      <c r="N1321" s="137"/>
      <c r="O1321" s="137"/>
      <c r="P1321" s="137"/>
      <c r="Q1321" s="137"/>
      <c r="R1321" s="137"/>
      <c r="S1321" s="137"/>
      <c r="T1321" s="137"/>
      <c r="U1321" s="137"/>
      <c r="V1321" s="137"/>
      <c r="W1321" s="137"/>
    </row>
    <row r="1322" spans="1:23" x14ac:dyDescent="0.25">
      <c r="A1322" s="137"/>
      <c r="B1322" s="137"/>
      <c r="C1322" s="137"/>
      <c r="D1322" s="137"/>
      <c r="E1322" s="137"/>
      <c r="F1322" s="137"/>
      <c r="G1322" s="137"/>
      <c r="H1322" s="137"/>
      <c r="I1322" s="137"/>
      <c r="J1322" s="137"/>
      <c r="K1322" s="137"/>
      <c r="L1322" s="137"/>
      <c r="M1322" s="137"/>
      <c r="N1322" s="137"/>
      <c r="O1322" s="137"/>
      <c r="P1322" s="137"/>
      <c r="Q1322" s="137"/>
      <c r="R1322" s="137"/>
      <c r="S1322" s="137"/>
      <c r="T1322" s="137"/>
      <c r="U1322" s="137"/>
      <c r="V1322" s="137"/>
      <c r="W1322" s="137"/>
    </row>
    <row r="1323" spans="1:23" x14ac:dyDescent="0.25">
      <c r="A1323" s="137"/>
      <c r="B1323" s="137"/>
      <c r="C1323" s="137"/>
      <c r="D1323" s="137"/>
      <c r="E1323" s="137"/>
      <c r="F1323" s="137"/>
      <c r="G1323" s="137"/>
      <c r="H1323" s="137"/>
      <c r="I1323" s="137"/>
      <c r="J1323" s="137"/>
      <c r="K1323" s="137"/>
      <c r="L1323" s="137"/>
      <c r="M1323" s="137"/>
      <c r="N1323" s="137"/>
      <c r="O1323" s="137"/>
      <c r="P1323" s="137"/>
      <c r="Q1323" s="137"/>
      <c r="R1323" s="137"/>
      <c r="S1323" s="137"/>
      <c r="T1323" s="137"/>
      <c r="U1323" s="137"/>
      <c r="V1323" s="137"/>
      <c r="W1323" s="137"/>
    </row>
    <row r="1324" spans="1:23" x14ac:dyDescent="0.25">
      <c r="A1324" s="137"/>
      <c r="B1324" s="137"/>
      <c r="C1324" s="137"/>
      <c r="D1324" s="137"/>
      <c r="E1324" s="137"/>
      <c r="F1324" s="137"/>
      <c r="G1324" s="137"/>
      <c r="H1324" s="137"/>
      <c r="I1324" s="137"/>
      <c r="J1324" s="137"/>
      <c r="K1324" s="137"/>
      <c r="L1324" s="137"/>
      <c r="M1324" s="137"/>
      <c r="N1324" s="137"/>
      <c r="O1324" s="137"/>
      <c r="P1324" s="137"/>
      <c r="Q1324" s="137"/>
      <c r="R1324" s="137"/>
      <c r="S1324" s="137"/>
      <c r="T1324" s="137"/>
      <c r="U1324" s="137"/>
      <c r="V1324" s="137"/>
      <c r="W1324" s="137"/>
    </row>
    <row r="1325" spans="1:23" x14ac:dyDescent="0.25">
      <c r="A1325" s="137"/>
      <c r="B1325" s="137"/>
      <c r="C1325" s="137"/>
      <c r="D1325" s="137"/>
      <c r="E1325" s="137"/>
      <c r="F1325" s="137"/>
      <c r="G1325" s="137"/>
      <c r="H1325" s="137"/>
      <c r="I1325" s="137"/>
      <c r="J1325" s="137"/>
      <c r="K1325" s="137"/>
      <c r="L1325" s="137"/>
      <c r="M1325" s="137"/>
      <c r="N1325" s="137"/>
      <c r="O1325" s="137"/>
      <c r="P1325" s="137"/>
      <c r="Q1325" s="137"/>
      <c r="R1325" s="137"/>
      <c r="S1325" s="137"/>
      <c r="T1325" s="137"/>
      <c r="U1325" s="137"/>
      <c r="V1325" s="137"/>
      <c r="W1325" s="137"/>
    </row>
    <row r="1326" spans="1:23" x14ac:dyDescent="0.25">
      <c r="A1326" s="137"/>
      <c r="B1326" s="137"/>
      <c r="C1326" s="137"/>
      <c r="D1326" s="137"/>
      <c r="E1326" s="137"/>
      <c r="F1326" s="137"/>
      <c r="G1326" s="137"/>
      <c r="H1326" s="137"/>
      <c r="I1326" s="137"/>
      <c r="J1326" s="137"/>
      <c r="K1326" s="137"/>
      <c r="L1326" s="137"/>
      <c r="M1326" s="137"/>
      <c r="N1326" s="137"/>
      <c r="O1326" s="137"/>
      <c r="P1326" s="137"/>
      <c r="Q1326" s="137"/>
      <c r="R1326" s="137"/>
      <c r="S1326" s="137"/>
      <c r="T1326" s="137"/>
      <c r="U1326" s="137"/>
      <c r="V1326" s="137"/>
      <c r="W1326" s="137"/>
    </row>
    <row r="1327" spans="1:23" x14ac:dyDescent="0.25">
      <c r="A1327" s="137"/>
      <c r="B1327" s="137"/>
      <c r="C1327" s="137"/>
      <c r="D1327" s="137"/>
      <c r="E1327" s="137"/>
      <c r="F1327" s="137"/>
      <c r="G1327" s="137"/>
      <c r="H1327" s="137"/>
      <c r="I1327" s="137"/>
      <c r="J1327" s="137"/>
      <c r="K1327" s="137"/>
      <c r="L1327" s="137"/>
      <c r="M1327" s="137"/>
      <c r="N1327" s="137"/>
      <c r="O1327" s="137"/>
      <c r="P1327" s="137"/>
      <c r="Q1327" s="137"/>
      <c r="R1327" s="137"/>
      <c r="S1327" s="137"/>
      <c r="T1327" s="137"/>
      <c r="U1327" s="137"/>
      <c r="V1327" s="137"/>
      <c r="W1327" s="137"/>
    </row>
    <row r="1328" spans="1:23" x14ac:dyDescent="0.25">
      <c r="A1328" s="137"/>
      <c r="B1328" s="137"/>
      <c r="C1328" s="137"/>
      <c r="D1328" s="137"/>
      <c r="E1328" s="137"/>
      <c r="F1328" s="137"/>
      <c r="G1328" s="137"/>
      <c r="H1328" s="137"/>
      <c r="I1328" s="137"/>
      <c r="J1328" s="137"/>
      <c r="K1328" s="137"/>
      <c r="L1328" s="137"/>
      <c r="M1328" s="137"/>
      <c r="N1328" s="137"/>
      <c r="O1328" s="137"/>
      <c r="P1328" s="137"/>
      <c r="Q1328" s="137"/>
      <c r="R1328" s="137"/>
      <c r="S1328" s="137"/>
      <c r="T1328" s="137"/>
      <c r="U1328" s="137"/>
      <c r="V1328" s="137"/>
      <c r="W1328" s="137"/>
    </row>
    <row r="1329" spans="1:23" x14ac:dyDescent="0.25">
      <c r="A1329" s="137"/>
      <c r="B1329" s="137"/>
      <c r="C1329" s="137"/>
      <c r="D1329" s="137"/>
      <c r="E1329" s="137"/>
      <c r="F1329" s="137"/>
      <c r="G1329" s="137"/>
      <c r="H1329" s="137"/>
      <c r="I1329" s="137"/>
      <c r="J1329" s="137"/>
      <c r="K1329" s="137"/>
      <c r="L1329" s="137"/>
      <c r="M1329" s="137"/>
      <c r="N1329" s="137"/>
      <c r="O1329" s="137"/>
      <c r="P1329" s="137"/>
      <c r="Q1329" s="137"/>
      <c r="R1329" s="137"/>
      <c r="S1329" s="137"/>
      <c r="T1329" s="137"/>
      <c r="U1329" s="137"/>
      <c r="V1329" s="137"/>
      <c r="W1329" s="137"/>
    </row>
    <row r="1330" spans="1:23" x14ac:dyDescent="0.25">
      <c r="A1330" s="137"/>
      <c r="B1330" s="137"/>
      <c r="C1330" s="137"/>
      <c r="D1330" s="137"/>
      <c r="E1330" s="137"/>
      <c r="F1330" s="137"/>
      <c r="G1330" s="137"/>
      <c r="H1330" s="137"/>
      <c r="I1330" s="137"/>
      <c r="J1330" s="137"/>
      <c r="K1330" s="137"/>
      <c r="L1330" s="137"/>
      <c r="M1330" s="137"/>
      <c r="N1330" s="137"/>
      <c r="O1330" s="137"/>
      <c r="P1330" s="137"/>
      <c r="Q1330" s="137"/>
      <c r="R1330" s="137"/>
      <c r="S1330" s="137"/>
      <c r="T1330" s="137"/>
      <c r="U1330" s="137"/>
      <c r="V1330" s="137"/>
      <c r="W1330" s="137"/>
    </row>
    <row r="1331" spans="1:23" x14ac:dyDescent="0.25">
      <c r="A1331" s="137"/>
      <c r="B1331" s="137"/>
      <c r="C1331" s="137"/>
      <c r="D1331" s="137"/>
      <c r="E1331" s="137"/>
      <c r="F1331" s="137"/>
      <c r="G1331" s="137"/>
      <c r="H1331" s="137"/>
      <c r="I1331" s="137"/>
      <c r="J1331" s="137"/>
      <c r="K1331" s="137"/>
      <c r="L1331" s="137"/>
      <c r="M1331" s="137"/>
      <c r="N1331" s="137"/>
      <c r="O1331" s="137"/>
      <c r="P1331" s="137"/>
      <c r="Q1331" s="137"/>
      <c r="R1331" s="137"/>
      <c r="S1331" s="137"/>
      <c r="T1331" s="137"/>
      <c r="U1331" s="137"/>
      <c r="V1331" s="137"/>
      <c r="W1331" s="137"/>
    </row>
    <row r="1332" spans="1:23" x14ac:dyDescent="0.25">
      <c r="A1332" s="137"/>
      <c r="B1332" s="137"/>
      <c r="C1332" s="137"/>
      <c r="D1332" s="137"/>
      <c r="E1332" s="137"/>
      <c r="F1332" s="137"/>
      <c r="G1332" s="137"/>
      <c r="H1332" s="137"/>
      <c r="I1332" s="137"/>
      <c r="J1332" s="137"/>
      <c r="K1332" s="137"/>
      <c r="L1332" s="137"/>
      <c r="M1332" s="137"/>
      <c r="N1332" s="137"/>
      <c r="O1332" s="137"/>
      <c r="P1332" s="137"/>
      <c r="Q1332" s="137"/>
      <c r="R1332" s="137"/>
      <c r="S1332" s="137"/>
      <c r="T1332" s="137"/>
      <c r="U1332" s="137"/>
      <c r="V1332" s="137"/>
      <c r="W1332" s="137"/>
    </row>
    <row r="1333" spans="1:23" x14ac:dyDescent="0.25">
      <c r="A1333" s="137"/>
      <c r="B1333" s="137"/>
      <c r="C1333" s="137"/>
      <c r="D1333" s="137"/>
      <c r="E1333" s="137"/>
      <c r="F1333" s="137"/>
      <c r="G1333" s="137"/>
      <c r="H1333" s="137"/>
      <c r="I1333" s="137"/>
      <c r="J1333" s="137"/>
      <c r="K1333" s="137"/>
      <c r="L1333" s="137"/>
      <c r="M1333" s="137"/>
      <c r="N1333" s="137"/>
      <c r="O1333" s="137"/>
      <c r="P1333" s="137"/>
      <c r="Q1333" s="137"/>
      <c r="R1333" s="137"/>
      <c r="S1333" s="137"/>
      <c r="T1333" s="137"/>
      <c r="U1333" s="137"/>
      <c r="V1333" s="137"/>
      <c r="W1333" s="137"/>
    </row>
    <row r="1334" spans="1:23" x14ac:dyDescent="0.25">
      <c r="A1334" s="137"/>
      <c r="B1334" s="137"/>
      <c r="C1334" s="137"/>
      <c r="D1334" s="137"/>
      <c r="E1334" s="137"/>
      <c r="F1334" s="137"/>
      <c r="G1334" s="137"/>
      <c r="H1334" s="137"/>
      <c r="I1334" s="137"/>
      <c r="J1334" s="137"/>
      <c r="K1334" s="137"/>
      <c r="L1334" s="137"/>
      <c r="M1334" s="137"/>
      <c r="N1334" s="137"/>
      <c r="O1334" s="137"/>
      <c r="P1334" s="137"/>
      <c r="Q1334" s="137"/>
      <c r="R1334" s="137"/>
      <c r="S1334" s="137"/>
      <c r="T1334" s="137"/>
      <c r="U1334" s="137"/>
      <c r="V1334" s="137"/>
      <c r="W1334" s="137"/>
    </row>
    <row r="1335" spans="1:23" x14ac:dyDescent="0.25">
      <c r="A1335" s="137"/>
      <c r="B1335" s="137"/>
      <c r="C1335" s="137"/>
      <c r="D1335" s="137"/>
      <c r="E1335" s="137"/>
      <c r="F1335" s="137"/>
      <c r="G1335" s="137"/>
      <c r="H1335" s="137"/>
      <c r="I1335" s="137"/>
      <c r="J1335" s="137"/>
      <c r="K1335" s="137"/>
      <c r="L1335" s="137"/>
      <c r="M1335" s="137"/>
      <c r="N1335" s="137"/>
      <c r="O1335" s="137"/>
      <c r="P1335" s="137"/>
      <c r="Q1335" s="137"/>
      <c r="R1335" s="137"/>
      <c r="S1335" s="137"/>
      <c r="T1335" s="137"/>
      <c r="U1335" s="137"/>
      <c r="V1335" s="137"/>
      <c r="W1335" s="137"/>
    </row>
    <row r="1336" spans="1:23" x14ac:dyDescent="0.25">
      <c r="A1336" s="137"/>
      <c r="B1336" s="137"/>
      <c r="C1336" s="137"/>
      <c r="D1336" s="137"/>
      <c r="E1336" s="137"/>
      <c r="F1336" s="137"/>
      <c r="G1336" s="137"/>
      <c r="H1336" s="137"/>
      <c r="I1336" s="137"/>
      <c r="J1336" s="137"/>
      <c r="K1336" s="137"/>
      <c r="L1336" s="137"/>
      <c r="M1336" s="137"/>
      <c r="N1336" s="137"/>
      <c r="O1336" s="137"/>
      <c r="P1336" s="137"/>
      <c r="Q1336" s="137"/>
      <c r="R1336" s="137"/>
      <c r="S1336" s="137"/>
      <c r="T1336" s="137"/>
      <c r="U1336" s="137"/>
      <c r="V1336" s="137"/>
      <c r="W1336" s="137"/>
    </row>
    <row r="1337" spans="1:23" x14ac:dyDescent="0.25">
      <c r="A1337" s="137"/>
      <c r="B1337" s="137"/>
      <c r="C1337" s="137"/>
      <c r="D1337" s="137"/>
      <c r="E1337" s="137"/>
      <c r="F1337" s="137"/>
      <c r="G1337" s="137"/>
      <c r="H1337" s="137"/>
      <c r="I1337" s="137"/>
      <c r="J1337" s="137"/>
      <c r="K1337" s="137"/>
      <c r="L1337" s="137"/>
      <c r="M1337" s="137"/>
      <c r="N1337" s="137"/>
      <c r="O1337" s="137"/>
      <c r="P1337" s="137"/>
      <c r="Q1337" s="137"/>
      <c r="R1337" s="137"/>
      <c r="S1337" s="137"/>
      <c r="T1337" s="137"/>
      <c r="U1337" s="137"/>
      <c r="V1337" s="137"/>
      <c r="W1337" s="137"/>
    </row>
    <row r="1338" spans="1:23" x14ac:dyDescent="0.25">
      <c r="A1338" s="137"/>
      <c r="B1338" s="137"/>
      <c r="C1338" s="137"/>
      <c r="D1338" s="137"/>
      <c r="E1338" s="137"/>
      <c r="F1338" s="137"/>
      <c r="G1338" s="137"/>
      <c r="H1338" s="137"/>
      <c r="I1338" s="137"/>
      <c r="J1338" s="137"/>
      <c r="K1338" s="137"/>
      <c r="L1338" s="137"/>
      <c r="M1338" s="137"/>
      <c r="N1338" s="137"/>
      <c r="O1338" s="137"/>
      <c r="P1338" s="137"/>
      <c r="Q1338" s="137"/>
      <c r="R1338" s="137"/>
      <c r="S1338" s="137"/>
      <c r="T1338" s="137"/>
      <c r="U1338" s="137"/>
      <c r="V1338" s="137"/>
      <c r="W1338" s="137"/>
    </row>
    <row r="1339" spans="1:23" x14ac:dyDescent="0.25">
      <c r="A1339" s="137"/>
      <c r="B1339" s="137"/>
      <c r="C1339" s="137"/>
      <c r="D1339" s="137"/>
      <c r="E1339" s="137"/>
      <c r="F1339" s="137"/>
      <c r="G1339" s="137"/>
      <c r="H1339" s="137"/>
      <c r="I1339" s="137"/>
      <c r="J1339" s="137"/>
      <c r="K1339" s="137"/>
      <c r="L1339" s="137"/>
      <c r="M1339" s="137"/>
      <c r="N1339" s="137"/>
      <c r="O1339" s="137"/>
      <c r="P1339" s="137"/>
      <c r="Q1339" s="137"/>
      <c r="R1339" s="137"/>
      <c r="S1339" s="137"/>
      <c r="T1339" s="137"/>
      <c r="U1339" s="137"/>
      <c r="V1339" s="137"/>
      <c r="W1339" s="137"/>
    </row>
    <row r="1340" spans="1:23" x14ac:dyDescent="0.25">
      <c r="A1340" s="137"/>
      <c r="B1340" s="137"/>
      <c r="C1340" s="137"/>
      <c r="D1340" s="137"/>
      <c r="E1340" s="137"/>
      <c r="F1340" s="137"/>
      <c r="G1340" s="137"/>
      <c r="H1340" s="137"/>
      <c r="I1340" s="137"/>
      <c r="J1340" s="137"/>
      <c r="K1340" s="137"/>
      <c r="L1340" s="137"/>
      <c r="M1340" s="137"/>
      <c r="N1340" s="137"/>
      <c r="O1340" s="137"/>
      <c r="P1340" s="137"/>
      <c r="Q1340" s="137"/>
      <c r="R1340" s="137"/>
      <c r="S1340" s="137"/>
      <c r="T1340" s="137"/>
      <c r="U1340" s="137"/>
      <c r="V1340" s="137"/>
      <c r="W1340" s="137"/>
    </row>
    <row r="1341" spans="1:23" x14ac:dyDescent="0.25">
      <c r="A1341" s="137"/>
      <c r="B1341" s="137"/>
      <c r="C1341" s="137"/>
      <c r="D1341" s="137"/>
      <c r="E1341" s="137"/>
      <c r="F1341" s="137"/>
      <c r="G1341" s="137"/>
      <c r="H1341" s="137"/>
      <c r="I1341" s="137"/>
      <c r="J1341" s="137"/>
      <c r="K1341" s="137"/>
      <c r="L1341" s="137"/>
      <c r="M1341" s="137"/>
      <c r="N1341" s="137"/>
      <c r="O1341" s="137"/>
      <c r="P1341" s="137"/>
      <c r="Q1341" s="137"/>
      <c r="R1341" s="137"/>
      <c r="S1341" s="137"/>
      <c r="T1341" s="137"/>
      <c r="U1341" s="137"/>
      <c r="V1341" s="137"/>
      <c r="W1341" s="137"/>
    </row>
    <row r="1342" spans="1:23" x14ac:dyDescent="0.25">
      <c r="A1342" s="137"/>
      <c r="B1342" s="137"/>
      <c r="C1342" s="137"/>
      <c r="D1342" s="137"/>
      <c r="E1342" s="137"/>
      <c r="F1342" s="137"/>
      <c r="G1342" s="137"/>
      <c r="H1342" s="137"/>
      <c r="I1342" s="137"/>
      <c r="J1342" s="137"/>
      <c r="K1342" s="137"/>
      <c r="L1342" s="137"/>
      <c r="M1342" s="137"/>
      <c r="N1342" s="137"/>
      <c r="O1342" s="137"/>
      <c r="P1342" s="137"/>
      <c r="Q1342" s="137"/>
      <c r="R1342" s="137"/>
      <c r="S1342" s="137"/>
      <c r="T1342" s="137"/>
      <c r="U1342" s="137"/>
      <c r="V1342" s="137"/>
      <c r="W1342" s="137"/>
    </row>
    <row r="1343" spans="1:23" x14ac:dyDescent="0.25">
      <c r="A1343" s="137"/>
      <c r="B1343" s="137"/>
      <c r="C1343" s="137"/>
      <c r="D1343" s="137"/>
      <c r="E1343" s="137"/>
      <c r="F1343" s="137"/>
      <c r="G1343" s="137"/>
      <c r="H1343" s="137"/>
      <c r="I1343" s="137"/>
      <c r="J1343" s="137"/>
      <c r="K1343" s="137"/>
      <c r="L1343" s="137"/>
      <c r="M1343" s="137"/>
      <c r="N1343" s="137"/>
      <c r="O1343" s="137"/>
      <c r="P1343" s="137"/>
      <c r="Q1343" s="137"/>
      <c r="R1343" s="137"/>
      <c r="S1343" s="137"/>
      <c r="T1343" s="137"/>
      <c r="U1343" s="137"/>
      <c r="V1343" s="137"/>
      <c r="W1343" s="137"/>
    </row>
    <row r="1344" spans="1:23" x14ac:dyDescent="0.25">
      <c r="A1344" s="137"/>
      <c r="B1344" s="137"/>
      <c r="C1344" s="137"/>
      <c r="D1344" s="137"/>
      <c r="E1344" s="137"/>
      <c r="F1344" s="137"/>
      <c r="G1344" s="137"/>
      <c r="H1344" s="137"/>
      <c r="I1344" s="137"/>
      <c r="J1344" s="137"/>
      <c r="K1344" s="137"/>
      <c r="L1344" s="137"/>
      <c r="M1344" s="137"/>
      <c r="N1344" s="137"/>
      <c r="O1344" s="137"/>
      <c r="P1344" s="137"/>
      <c r="Q1344" s="137"/>
      <c r="R1344" s="137"/>
      <c r="S1344" s="137"/>
      <c r="T1344" s="137"/>
      <c r="U1344" s="137"/>
      <c r="V1344" s="137"/>
      <c r="W1344" s="137"/>
    </row>
    <row r="1345" spans="1:23" x14ac:dyDescent="0.25">
      <c r="A1345" s="137"/>
      <c r="B1345" s="137"/>
      <c r="C1345" s="137"/>
      <c r="D1345" s="137"/>
      <c r="E1345" s="137"/>
      <c r="F1345" s="137"/>
      <c r="G1345" s="137"/>
      <c r="H1345" s="137"/>
      <c r="I1345" s="137"/>
      <c r="J1345" s="137"/>
      <c r="K1345" s="137"/>
      <c r="L1345" s="137"/>
      <c r="M1345" s="137"/>
      <c r="N1345" s="137"/>
      <c r="O1345" s="137"/>
      <c r="P1345" s="137"/>
      <c r="Q1345" s="137"/>
      <c r="R1345" s="137"/>
      <c r="S1345" s="137"/>
      <c r="T1345" s="137"/>
      <c r="U1345" s="137"/>
      <c r="V1345" s="137"/>
      <c r="W1345" s="137"/>
    </row>
    <row r="1346" spans="1:23" x14ac:dyDescent="0.25">
      <c r="A1346" s="137"/>
      <c r="B1346" s="137"/>
      <c r="C1346" s="137"/>
      <c r="D1346" s="137"/>
      <c r="E1346" s="137"/>
      <c r="F1346" s="137"/>
      <c r="G1346" s="137"/>
      <c r="H1346" s="137"/>
      <c r="I1346" s="137"/>
      <c r="J1346" s="137"/>
      <c r="K1346" s="137"/>
      <c r="L1346" s="137"/>
      <c r="M1346" s="137"/>
      <c r="N1346" s="137"/>
      <c r="O1346" s="137"/>
      <c r="P1346" s="137"/>
      <c r="Q1346" s="137"/>
      <c r="R1346" s="137"/>
      <c r="S1346" s="137"/>
      <c r="T1346" s="137"/>
      <c r="U1346" s="137"/>
      <c r="V1346" s="137"/>
      <c r="W1346" s="137"/>
    </row>
    <row r="1347" spans="1:23" x14ac:dyDescent="0.25">
      <c r="A1347" s="137"/>
      <c r="B1347" s="137"/>
      <c r="C1347" s="137"/>
      <c r="D1347" s="137"/>
      <c r="E1347" s="137"/>
      <c r="F1347" s="137"/>
      <c r="G1347" s="137"/>
      <c r="H1347" s="137"/>
      <c r="I1347" s="137"/>
      <c r="J1347" s="137"/>
      <c r="K1347" s="137"/>
      <c r="L1347" s="137"/>
      <c r="M1347" s="137"/>
      <c r="N1347" s="137"/>
      <c r="O1347" s="137"/>
      <c r="P1347" s="137"/>
      <c r="Q1347" s="137"/>
      <c r="R1347" s="137"/>
      <c r="S1347" s="137"/>
      <c r="T1347" s="137"/>
      <c r="U1347" s="137"/>
      <c r="V1347" s="137"/>
      <c r="W1347" s="137"/>
    </row>
    <row r="1348" spans="1:23" x14ac:dyDescent="0.25">
      <c r="A1348" s="137"/>
      <c r="B1348" s="137"/>
      <c r="C1348" s="137"/>
      <c r="D1348" s="137"/>
      <c r="E1348" s="137"/>
      <c r="F1348" s="137"/>
      <c r="G1348" s="137"/>
      <c r="H1348" s="137"/>
      <c r="I1348" s="137"/>
      <c r="J1348" s="137"/>
      <c r="K1348" s="137"/>
      <c r="L1348" s="137"/>
      <c r="M1348" s="137"/>
      <c r="N1348" s="137"/>
      <c r="O1348" s="137"/>
      <c r="P1348" s="137"/>
      <c r="Q1348" s="137"/>
      <c r="R1348" s="137"/>
      <c r="S1348" s="137"/>
      <c r="T1348" s="137"/>
      <c r="U1348" s="137"/>
      <c r="V1348" s="137"/>
      <c r="W1348" s="137"/>
    </row>
    <row r="1349" spans="1:23" x14ac:dyDescent="0.25">
      <c r="A1349" s="137"/>
      <c r="B1349" s="137"/>
      <c r="C1349" s="137"/>
      <c r="D1349" s="137"/>
      <c r="E1349" s="137"/>
      <c r="F1349" s="137"/>
      <c r="G1349" s="137"/>
      <c r="H1349" s="137"/>
      <c r="I1349" s="137"/>
      <c r="J1349" s="137"/>
      <c r="K1349" s="137"/>
      <c r="L1349" s="137"/>
      <c r="M1349" s="137"/>
      <c r="N1349" s="137"/>
      <c r="O1349" s="137"/>
      <c r="P1349" s="137"/>
      <c r="Q1349" s="137"/>
      <c r="R1349" s="137"/>
      <c r="S1349" s="137"/>
      <c r="T1349" s="137"/>
      <c r="U1349" s="137"/>
      <c r="V1349" s="137"/>
      <c r="W1349" s="137"/>
    </row>
    <row r="1350" spans="1:23" x14ac:dyDescent="0.25">
      <c r="A1350" s="137"/>
      <c r="B1350" s="137"/>
      <c r="C1350" s="137"/>
      <c r="D1350" s="137"/>
      <c r="E1350" s="137"/>
      <c r="F1350" s="137"/>
      <c r="G1350" s="137"/>
      <c r="H1350" s="137"/>
      <c r="I1350" s="137"/>
      <c r="J1350" s="137"/>
      <c r="K1350" s="137"/>
      <c r="L1350" s="137"/>
      <c r="M1350" s="137"/>
      <c r="N1350" s="137"/>
      <c r="O1350" s="137"/>
      <c r="P1350" s="137"/>
      <c r="Q1350" s="137"/>
      <c r="R1350" s="137"/>
      <c r="S1350" s="137"/>
      <c r="T1350" s="137"/>
      <c r="U1350" s="137"/>
      <c r="V1350" s="137"/>
      <c r="W1350" s="137"/>
    </row>
    <row r="1351" spans="1:23" x14ac:dyDescent="0.25">
      <c r="A1351" s="137"/>
      <c r="B1351" s="137"/>
      <c r="C1351" s="137"/>
      <c r="D1351" s="137"/>
      <c r="E1351" s="137"/>
      <c r="F1351" s="137"/>
      <c r="G1351" s="137"/>
      <c r="H1351" s="137"/>
      <c r="I1351" s="137"/>
      <c r="J1351" s="137"/>
      <c r="K1351" s="137"/>
      <c r="L1351" s="137"/>
      <c r="M1351" s="137"/>
      <c r="N1351" s="137"/>
      <c r="O1351" s="137"/>
      <c r="P1351" s="137"/>
      <c r="Q1351" s="137"/>
      <c r="R1351" s="137"/>
      <c r="S1351" s="137"/>
      <c r="T1351" s="137"/>
      <c r="U1351" s="137"/>
      <c r="V1351" s="137"/>
      <c r="W1351" s="137"/>
    </row>
    <row r="1352" spans="1:23" x14ac:dyDescent="0.25">
      <c r="A1352" s="137"/>
      <c r="B1352" s="137"/>
      <c r="C1352" s="137"/>
      <c r="D1352" s="137"/>
      <c r="E1352" s="137"/>
      <c r="F1352" s="137"/>
      <c r="G1352" s="137"/>
      <c r="H1352" s="137"/>
      <c r="I1352" s="137"/>
      <c r="J1352" s="137"/>
      <c r="K1352" s="137"/>
      <c r="L1352" s="137"/>
      <c r="M1352" s="137"/>
      <c r="N1352" s="137"/>
      <c r="O1352" s="137"/>
      <c r="P1352" s="137"/>
      <c r="Q1352" s="137"/>
      <c r="R1352" s="137"/>
      <c r="S1352" s="137"/>
      <c r="T1352" s="137"/>
      <c r="U1352" s="137"/>
      <c r="V1352" s="137"/>
      <c r="W1352" s="137"/>
    </row>
    <row r="1353" spans="1:23" x14ac:dyDescent="0.25">
      <c r="A1353" s="137"/>
      <c r="B1353" s="137"/>
      <c r="C1353" s="137"/>
      <c r="D1353" s="137"/>
      <c r="E1353" s="137"/>
      <c r="F1353" s="137"/>
      <c r="G1353" s="137"/>
      <c r="H1353" s="137"/>
      <c r="I1353" s="137"/>
      <c r="J1353" s="137"/>
      <c r="K1353" s="137"/>
      <c r="L1353" s="137"/>
      <c r="M1353" s="137"/>
      <c r="N1353" s="137"/>
      <c r="O1353" s="137"/>
      <c r="P1353" s="137"/>
      <c r="Q1353" s="137"/>
      <c r="R1353" s="137"/>
      <c r="S1353" s="137"/>
      <c r="T1353" s="137"/>
      <c r="U1353" s="137"/>
      <c r="V1353" s="137"/>
      <c r="W1353" s="137"/>
    </row>
    <row r="1354" spans="1:23" x14ac:dyDescent="0.25">
      <c r="A1354" s="137"/>
      <c r="B1354" s="137"/>
      <c r="C1354" s="137"/>
      <c r="D1354" s="137"/>
      <c r="E1354" s="137"/>
      <c r="F1354" s="137"/>
      <c r="G1354" s="137"/>
      <c r="H1354" s="137"/>
      <c r="I1354" s="137"/>
      <c r="J1354" s="137"/>
      <c r="K1354" s="137"/>
      <c r="L1354" s="137"/>
      <c r="M1354" s="137"/>
      <c r="N1354" s="137"/>
      <c r="O1354" s="137"/>
      <c r="P1354" s="137"/>
      <c r="Q1354" s="137"/>
      <c r="R1354" s="137"/>
      <c r="S1354" s="137"/>
      <c r="T1354" s="137"/>
      <c r="U1354" s="137"/>
      <c r="V1354" s="137"/>
      <c r="W1354" s="137"/>
    </row>
    <row r="1355" spans="1:23" x14ac:dyDescent="0.25">
      <c r="A1355" s="137"/>
      <c r="B1355" s="137"/>
      <c r="C1355" s="137"/>
      <c r="D1355" s="137"/>
      <c r="E1355" s="137"/>
      <c r="F1355" s="137"/>
      <c r="G1355" s="137"/>
      <c r="H1355" s="137"/>
      <c r="I1355" s="137"/>
      <c r="J1355" s="137"/>
      <c r="K1355" s="137"/>
      <c r="L1355" s="137"/>
      <c r="M1355" s="137"/>
      <c r="N1355" s="137"/>
      <c r="O1355" s="137"/>
      <c r="P1355" s="137"/>
      <c r="Q1355" s="137"/>
      <c r="R1355" s="137"/>
      <c r="S1355" s="137"/>
      <c r="T1355" s="137"/>
      <c r="U1355" s="137"/>
      <c r="V1355" s="137"/>
      <c r="W1355" s="137"/>
    </row>
    <row r="1356" spans="1:23" x14ac:dyDescent="0.25">
      <c r="A1356" s="137"/>
      <c r="B1356" s="137"/>
      <c r="C1356" s="137"/>
      <c r="D1356" s="137"/>
      <c r="E1356" s="137"/>
      <c r="F1356" s="137"/>
      <c r="G1356" s="137"/>
      <c r="H1356" s="137"/>
      <c r="I1356" s="137"/>
      <c r="J1356" s="137"/>
      <c r="K1356" s="137"/>
      <c r="L1356" s="137"/>
      <c r="M1356" s="137"/>
      <c r="N1356" s="137"/>
      <c r="O1356" s="137"/>
      <c r="P1356" s="137"/>
      <c r="Q1356" s="137"/>
      <c r="R1356" s="137"/>
      <c r="S1356" s="137"/>
      <c r="T1356" s="137"/>
      <c r="U1356" s="137"/>
      <c r="V1356" s="137"/>
      <c r="W1356" s="137"/>
    </row>
    <row r="1357" spans="1:23" x14ac:dyDescent="0.25">
      <c r="A1357" s="137"/>
      <c r="B1357" s="137"/>
      <c r="C1357" s="137"/>
      <c r="D1357" s="137"/>
      <c r="E1357" s="137"/>
      <c r="F1357" s="137"/>
      <c r="G1357" s="137"/>
      <c r="H1357" s="137"/>
      <c r="I1357" s="137"/>
      <c r="J1357" s="137"/>
      <c r="K1357" s="137"/>
      <c r="L1357" s="137"/>
      <c r="M1357" s="137"/>
      <c r="N1357" s="137"/>
      <c r="O1357" s="137"/>
      <c r="P1357" s="137"/>
      <c r="Q1357" s="137"/>
      <c r="R1357" s="137"/>
      <c r="S1357" s="137"/>
      <c r="T1357" s="137"/>
      <c r="U1357" s="137"/>
      <c r="V1357" s="137"/>
      <c r="W1357" s="137"/>
    </row>
    <row r="1358" spans="1:23" x14ac:dyDescent="0.25">
      <c r="A1358" s="137"/>
      <c r="B1358" s="137"/>
      <c r="C1358" s="137"/>
      <c r="D1358" s="137"/>
      <c r="E1358" s="137"/>
      <c r="F1358" s="137"/>
      <c r="G1358" s="137"/>
      <c r="H1358" s="137"/>
      <c r="I1358" s="137"/>
      <c r="J1358" s="137"/>
      <c r="K1358" s="137"/>
      <c r="L1358" s="137"/>
      <c r="M1358" s="137"/>
      <c r="N1358" s="137"/>
      <c r="O1358" s="137"/>
      <c r="P1358" s="137"/>
      <c r="Q1358" s="137"/>
      <c r="R1358" s="137"/>
      <c r="S1358" s="137"/>
      <c r="T1358" s="137"/>
      <c r="U1358" s="137"/>
      <c r="V1358" s="137"/>
      <c r="W1358" s="137"/>
    </row>
    <row r="1359" spans="1:23" x14ac:dyDescent="0.25">
      <c r="A1359" s="137"/>
      <c r="B1359" s="137"/>
      <c r="C1359" s="137"/>
      <c r="D1359" s="137"/>
      <c r="E1359" s="137"/>
      <c r="F1359" s="137"/>
      <c r="G1359" s="137"/>
      <c r="H1359" s="137"/>
      <c r="I1359" s="137"/>
      <c r="J1359" s="137"/>
      <c r="K1359" s="137"/>
      <c r="L1359" s="137"/>
      <c r="M1359" s="137"/>
      <c r="N1359" s="137"/>
      <c r="O1359" s="137"/>
      <c r="P1359" s="137"/>
      <c r="Q1359" s="137"/>
      <c r="R1359" s="137"/>
      <c r="S1359" s="137"/>
      <c r="T1359" s="137"/>
      <c r="U1359" s="137"/>
      <c r="V1359" s="137"/>
      <c r="W1359" s="137"/>
    </row>
    <row r="1360" spans="1:23" x14ac:dyDescent="0.25">
      <c r="A1360" s="137"/>
      <c r="B1360" s="137"/>
      <c r="C1360" s="137"/>
      <c r="D1360" s="137"/>
      <c r="E1360" s="137"/>
      <c r="F1360" s="137"/>
      <c r="G1360" s="137"/>
      <c r="H1360" s="137"/>
      <c r="I1360" s="137"/>
      <c r="J1360" s="137"/>
      <c r="K1360" s="137"/>
      <c r="L1360" s="137"/>
      <c r="M1360" s="137"/>
      <c r="N1360" s="137"/>
      <c r="O1360" s="137"/>
      <c r="P1360" s="137"/>
      <c r="Q1360" s="137"/>
      <c r="R1360" s="137"/>
      <c r="S1360" s="137"/>
      <c r="T1360" s="137"/>
      <c r="U1360" s="137"/>
      <c r="V1360" s="137"/>
      <c r="W1360" s="137"/>
    </row>
    <row r="1361" spans="1:23" x14ac:dyDescent="0.25">
      <c r="A1361" s="137"/>
      <c r="B1361" s="137"/>
      <c r="C1361" s="137"/>
      <c r="D1361" s="137"/>
      <c r="E1361" s="137"/>
      <c r="F1361" s="137"/>
      <c r="G1361" s="137"/>
      <c r="H1361" s="137"/>
      <c r="I1361" s="137"/>
      <c r="J1361" s="137"/>
      <c r="K1361" s="137"/>
      <c r="L1361" s="137"/>
      <c r="M1361" s="137"/>
      <c r="N1361" s="137"/>
      <c r="O1361" s="137"/>
      <c r="P1361" s="137"/>
      <c r="Q1361" s="137"/>
      <c r="R1361" s="137"/>
      <c r="S1361" s="137"/>
      <c r="T1361" s="137"/>
      <c r="U1361" s="137"/>
      <c r="V1361" s="137"/>
      <c r="W1361" s="137"/>
    </row>
    <row r="1362" spans="1:23" x14ac:dyDescent="0.25">
      <c r="A1362" s="137"/>
      <c r="B1362" s="137"/>
      <c r="C1362" s="137"/>
      <c r="D1362" s="137"/>
      <c r="E1362" s="137"/>
      <c r="F1362" s="137"/>
      <c r="G1362" s="137"/>
      <c r="H1362" s="137"/>
      <c r="I1362" s="137"/>
      <c r="J1362" s="137"/>
      <c r="K1362" s="137"/>
      <c r="L1362" s="137"/>
      <c r="M1362" s="137"/>
      <c r="N1362" s="137"/>
      <c r="O1362" s="137"/>
      <c r="P1362" s="137"/>
      <c r="Q1362" s="137"/>
      <c r="R1362" s="137"/>
      <c r="S1362" s="137"/>
      <c r="T1362" s="137"/>
      <c r="U1362" s="137"/>
      <c r="V1362" s="137"/>
      <c r="W1362" s="137"/>
    </row>
    <row r="1363" spans="1:23" x14ac:dyDescent="0.25">
      <c r="A1363" s="137"/>
      <c r="B1363" s="137"/>
      <c r="C1363" s="137"/>
      <c r="D1363" s="137"/>
      <c r="E1363" s="137"/>
      <c r="F1363" s="137"/>
      <c r="G1363" s="137"/>
      <c r="H1363" s="137"/>
      <c r="I1363" s="137"/>
      <c r="J1363" s="137"/>
      <c r="K1363" s="137"/>
      <c r="L1363" s="137"/>
      <c r="M1363" s="137"/>
      <c r="N1363" s="137"/>
      <c r="O1363" s="137"/>
      <c r="P1363" s="137"/>
      <c r="Q1363" s="137"/>
      <c r="R1363" s="137"/>
      <c r="S1363" s="137"/>
      <c r="T1363" s="137"/>
      <c r="U1363" s="137"/>
      <c r="V1363" s="137"/>
      <c r="W1363" s="137"/>
    </row>
    <row r="1364" spans="1:23" x14ac:dyDescent="0.25">
      <c r="A1364" s="137"/>
      <c r="B1364" s="137"/>
      <c r="C1364" s="137"/>
      <c r="D1364" s="137"/>
      <c r="E1364" s="137"/>
      <c r="F1364" s="137"/>
      <c r="G1364" s="137"/>
      <c r="H1364" s="137"/>
      <c r="I1364" s="137"/>
      <c r="J1364" s="137"/>
      <c r="K1364" s="137"/>
      <c r="L1364" s="137"/>
      <c r="M1364" s="137"/>
      <c r="N1364" s="137"/>
      <c r="O1364" s="137"/>
      <c r="P1364" s="137"/>
      <c r="Q1364" s="137"/>
      <c r="R1364" s="137"/>
      <c r="S1364" s="137"/>
      <c r="T1364" s="137"/>
      <c r="U1364" s="137"/>
      <c r="V1364" s="137"/>
      <c r="W1364" s="137"/>
    </row>
    <row r="1365" spans="1:23" x14ac:dyDescent="0.25">
      <c r="A1365" s="137"/>
      <c r="B1365" s="137"/>
      <c r="C1365" s="137"/>
      <c r="D1365" s="137"/>
      <c r="E1365" s="137"/>
      <c r="F1365" s="137"/>
      <c r="G1365" s="137"/>
      <c r="H1365" s="137"/>
      <c r="I1365" s="137"/>
      <c r="J1365" s="137"/>
      <c r="K1365" s="137"/>
      <c r="L1365" s="137"/>
      <c r="M1365" s="137"/>
      <c r="N1365" s="137"/>
      <c r="O1365" s="137"/>
      <c r="P1365" s="137"/>
      <c r="Q1365" s="137"/>
      <c r="R1365" s="137"/>
      <c r="S1365" s="137"/>
      <c r="T1365" s="137"/>
      <c r="U1365" s="137"/>
      <c r="V1365" s="137"/>
      <c r="W1365" s="137"/>
    </row>
    <row r="1366" spans="1:23" x14ac:dyDescent="0.25">
      <c r="A1366" s="137"/>
      <c r="B1366" s="137"/>
      <c r="C1366" s="137"/>
      <c r="D1366" s="137"/>
      <c r="E1366" s="137"/>
      <c r="F1366" s="137"/>
      <c r="G1366" s="137"/>
      <c r="H1366" s="137"/>
      <c r="I1366" s="137"/>
      <c r="J1366" s="137"/>
      <c r="K1366" s="137"/>
      <c r="L1366" s="137"/>
      <c r="M1366" s="137"/>
      <c r="N1366" s="137"/>
      <c r="O1366" s="137"/>
      <c r="P1366" s="137"/>
      <c r="Q1366" s="137"/>
      <c r="R1366" s="137"/>
      <c r="S1366" s="137"/>
      <c r="T1366" s="137"/>
      <c r="U1366" s="137"/>
      <c r="V1366" s="137"/>
      <c r="W1366" s="137"/>
    </row>
    <row r="1367" spans="1:23" x14ac:dyDescent="0.25">
      <c r="A1367" s="137"/>
      <c r="B1367" s="137"/>
      <c r="C1367" s="137"/>
      <c r="D1367" s="137"/>
      <c r="E1367" s="137"/>
      <c r="F1367" s="137"/>
      <c r="G1367" s="137"/>
      <c r="H1367" s="137"/>
      <c r="I1367" s="137"/>
      <c r="J1367" s="137"/>
      <c r="K1367" s="137"/>
      <c r="L1367" s="137"/>
      <c r="M1367" s="137"/>
      <c r="N1367" s="137"/>
      <c r="O1367" s="137"/>
      <c r="P1367" s="137"/>
      <c r="Q1367" s="137"/>
      <c r="R1367" s="137"/>
      <c r="S1367" s="137"/>
      <c r="T1367" s="137"/>
      <c r="U1367" s="137"/>
      <c r="V1367" s="137"/>
      <c r="W1367" s="137"/>
    </row>
    <row r="1368" spans="1:23" x14ac:dyDescent="0.25">
      <c r="A1368" s="137"/>
      <c r="B1368" s="137"/>
      <c r="C1368" s="137"/>
      <c r="D1368" s="137"/>
      <c r="E1368" s="137"/>
      <c r="F1368" s="137"/>
      <c r="G1368" s="137"/>
      <c r="H1368" s="137"/>
      <c r="I1368" s="137"/>
      <c r="J1368" s="137"/>
      <c r="K1368" s="137"/>
      <c r="L1368" s="137"/>
      <c r="M1368" s="137"/>
      <c r="N1368" s="137"/>
      <c r="O1368" s="137"/>
      <c r="P1368" s="137"/>
      <c r="Q1368" s="137"/>
      <c r="R1368" s="137"/>
      <c r="S1368" s="137"/>
      <c r="T1368" s="137"/>
      <c r="U1368" s="137"/>
      <c r="V1368" s="137"/>
      <c r="W1368" s="137"/>
    </row>
    <row r="1369" spans="1:23" x14ac:dyDescent="0.25">
      <c r="A1369" s="137"/>
      <c r="B1369" s="137"/>
      <c r="C1369" s="137"/>
      <c r="D1369" s="137"/>
      <c r="E1369" s="137"/>
      <c r="F1369" s="137"/>
      <c r="G1369" s="137"/>
      <c r="H1369" s="137"/>
      <c r="I1369" s="137"/>
      <c r="J1369" s="137"/>
      <c r="K1369" s="137"/>
      <c r="L1369" s="137"/>
      <c r="M1369" s="137"/>
      <c r="N1369" s="137"/>
      <c r="O1369" s="137"/>
      <c r="P1369" s="137"/>
      <c r="Q1369" s="137"/>
      <c r="R1369" s="137"/>
      <c r="S1369" s="137"/>
      <c r="T1369" s="137"/>
      <c r="U1369" s="137"/>
      <c r="V1369" s="137"/>
      <c r="W1369" s="137"/>
    </row>
    <row r="1370" spans="1:23" x14ac:dyDescent="0.25">
      <c r="A1370" s="137"/>
      <c r="B1370" s="137"/>
      <c r="C1370" s="137"/>
      <c r="D1370" s="137"/>
      <c r="E1370" s="137"/>
      <c r="F1370" s="137"/>
      <c r="G1370" s="137"/>
      <c r="H1370" s="137"/>
      <c r="I1370" s="137"/>
      <c r="J1370" s="137"/>
      <c r="K1370" s="137"/>
      <c r="L1370" s="137"/>
      <c r="M1370" s="137"/>
      <c r="N1370" s="137"/>
      <c r="O1370" s="137"/>
      <c r="P1370" s="137"/>
      <c r="Q1370" s="137"/>
      <c r="R1370" s="137"/>
      <c r="S1370" s="137"/>
      <c r="T1370" s="137"/>
      <c r="U1370" s="137"/>
      <c r="V1370" s="137"/>
      <c r="W1370" s="137"/>
    </row>
    <row r="1371" spans="1:23" x14ac:dyDescent="0.25">
      <c r="A1371" s="137"/>
      <c r="B1371" s="137"/>
      <c r="C1371" s="137"/>
      <c r="D1371" s="137"/>
      <c r="E1371" s="137"/>
      <c r="F1371" s="137"/>
      <c r="G1371" s="137"/>
      <c r="H1371" s="137"/>
      <c r="I1371" s="137"/>
      <c r="J1371" s="137"/>
      <c r="K1371" s="137"/>
      <c r="L1371" s="137"/>
      <c r="M1371" s="137"/>
      <c r="N1371" s="137"/>
      <c r="O1371" s="137"/>
      <c r="P1371" s="137"/>
      <c r="Q1371" s="137"/>
      <c r="R1371" s="137"/>
      <c r="S1371" s="137"/>
      <c r="T1371" s="137"/>
      <c r="U1371" s="137"/>
      <c r="V1371" s="137"/>
      <c r="W1371" s="137"/>
    </row>
    <row r="1372" spans="1:23" x14ac:dyDescent="0.25">
      <c r="A1372" s="137"/>
      <c r="B1372" s="137"/>
      <c r="C1372" s="137"/>
      <c r="D1372" s="137"/>
      <c r="E1372" s="137"/>
      <c r="F1372" s="137"/>
      <c r="G1372" s="137"/>
      <c r="H1372" s="137"/>
      <c r="I1372" s="137"/>
      <c r="J1372" s="137"/>
      <c r="K1372" s="137"/>
      <c r="L1372" s="137"/>
      <c r="M1372" s="137"/>
      <c r="N1372" s="137"/>
      <c r="O1372" s="137"/>
      <c r="P1372" s="137"/>
      <c r="Q1372" s="137"/>
      <c r="R1372" s="137"/>
      <c r="S1372" s="137"/>
      <c r="T1372" s="137"/>
      <c r="U1372" s="137"/>
      <c r="V1372" s="137"/>
      <c r="W1372" s="137"/>
    </row>
    <row r="1373" spans="1:23" x14ac:dyDescent="0.25">
      <c r="A1373" s="137"/>
      <c r="B1373" s="137"/>
      <c r="C1373" s="137"/>
      <c r="D1373" s="137"/>
      <c r="E1373" s="137"/>
      <c r="F1373" s="137"/>
      <c r="G1373" s="137"/>
      <c r="H1373" s="137"/>
      <c r="I1373" s="137"/>
      <c r="J1373" s="137"/>
      <c r="K1373" s="137"/>
      <c r="L1373" s="137"/>
      <c r="M1373" s="137"/>
      <c r="N1373" s="137"/>
      <c r="O1373" s="137"/>
      <c r="P1373" s="137"/>
      <c r="Q1373" s="137"/>
      <c r="R1373" s="137"/>
      <c r="S1373" s="137"/>
      <c r="T1373" s="137"/>
      <c r="U1373" s="137"/>
      <c r="V1373" s="137"/>
      <c r="W1373" s="137"/>
    </row>
    <row r="1374" spans="1:23" x14ac:dyDescent="0.25">
      <c r="A1374" s="137"/>
      <c r="B1374" s="137"/>
      <c r="C1374" s="137"/>
      <c r="D1374" s="137"/>
      <c r="E1374" s="137"/>
      <c r="F1374" s="137"/>
      <c r="G1374" s="137"/>
      <c r="H1374" s="137"/>
      <c r="I1374" s="137"/>
      <c r="J1374" s="137"/>
      <c r="K1374" s="137"/>
      <c r="L1374" s="137"/>
      <c r="M1374" s="137"/>
      <c r="N1374" s="137"/>
      <c r="O1374" s="137"/>
      <c r="P1374" s="137"/>
      <c r="Q1374" s="137"/>
      <c r="R1374" s="137"/>
      <c r="S1374" s="137"/>
      <c r="T1374" s="137"/>
      <c r="U1374" s="137"/>
      <c r="V1374" s="137"/>
      <c r="W1374" s="137"/>
    </row>
    <row r="1375" spans="1:23" x14ac:dyDescent="0.25">
      <c r="A1375" s="137"/>
      <c r="B1375" s="137"/>
      <c r="C1375" s="137"/>
      <c r="D1375" s="137"/>
      <c r="E1375" s="137"/>
      <c r="F1375" s="137"/>
      <c r="G1375" s="137"/>
      <c r="H1375" s="137"/>
      <c r="I1375" s="137"/>
      <c r="J1375" s="137"/>
      <c r="K1375" s="137"/>
      <c r="L1375" s="137"/>
      <c r="M1375" s="137"/>
      <c r="N1375" s="137"/>
      <c r="O1375" s="137"/>
      <c r="P1375" s="137"/>
      <c r="Q1375" s="137"/>
      <c r="R1375" s="137"/>
      <c r="S1375" s="137"/>
      <c r="T1375" s="137"/>
      <c r="U1375" s="137"/>
      <c r="V1375" s="137"/>
      <c r="W1375" s="137"/>
    </row>
    <row r="1376" spans="1:23" x14ac:dyDescent="0.25">
      <c r="A1376" s="137"/>
      <c r="B1376" s="137"/>
      <c r="C1376" s="137"/>
      <c r="D1376" s="137"/>
      <c r="E1376" s="137"/>
      <c r="F1376" s="137"/>
      <c r="G1376" s="137"/>
      <c r="H1376" s="137"/>
      <c r="I1376" s="137"/>
      <c r="J1376" s="137"/>
      <c r="K1376" s="137"/>
      <c r="L1376" s="137"/>
      <c r="M1376" s="137"/>
      <c r="N1376" s="137"/>
      <c r="O1376" s="137"/>
      <c r="P1376" s="137"/>
      <c r="Q1376" s="137"/>
      <c r="R1376" s="137"/>
      <c r="S1376" s="137"/>
      <c r="T1376" s="137"/>
      <c r="U1376" s="137"/>
      <c r="V1376" s="137"/>
      <c r="W1376" s="137"/>
    </row>
    <row r="1377" spans="1:23" x14ac:dyDescent="0.25">
      <c r="A1377" s="137"/>
      <c r="B1377" s="137"/>
      <c r="C1377" s="137"/>
      <c r="D1377" s="137"/>
      <c r="E1377" s="137"/>
      <c r="F1377" s="137"/>
      <c r="G1377" s="137"/>
      <c r="H1377" s="137"/>
      <c r="I1377" s="137"/>
      <c r="J1377" s="137"/>
      <c r="K1377" s="137"/>
      <c r="L1377" s="137"/>
      <c r="M1377" s="137"/>
      <c r="N1377" s="137"/>
      <c r="O1377" s="137"/>
      <c r="P1377" s="137"/>
      <c r="Q1377" s="137"/>
      <c r="R1377" s="137"/>
      <c r="S1377" s="137"/>
      <c r="T1377" s="137"/>
      <c r="U1377" s="137"/>
      <c r="V1377" s="137"/>
      <c r="W1377" s="137"/>
    </row>
    <row r="1378" spans="1:23" x14ac:dyDescent="0.25">
      <c r="A1378" s="137"/>
      <c r="B1378" s="137"/>
      <c r="C1378" s="137"/>
      <c r="D1378" s="137"/>
      <c r="E1378" s="137"/>
      <c r="F1378" s="137"/>
      <c r="G1378" s="137"/>
      <c r="H1378" s="137"/>
      <c r="I1378" s="137"/>
      <c r="J1378" s="137"/>
      <c r="K1378" s="137"/>
      <c r="L1378" s="137"/>
      <c r="M1378" s="137"/>
      <c r="N1378" s="137"/>
      <c r="O1378" s="137"/>
      <c r="P1378" s="137"/>
      <c r="Q1378" s="137"/>
      <c r="R1378" s="137"/>
      <c r="S1378" s="137"/>
      <c r="T1378" s="137"/>
      <c r="U1378" s="137"/>
      <c r="V1378" s="137"/>
      <c r="W1378" s="137"/>
    </row>
    <row r="1379" spans="1:23" x14ac:dyDescent="0.25">
      <c r="A1379" s="137"/>
      <c r="B1379" s="137"/>
      <c r="C1379" s="137"/>
      <c r="D1379" s="137"/>
      <c r="E1379" s="137"/>
      <c r="F1379" s="137"/>
      <c r="G1379" s="137"/>
      <c r="H1379" s="137"/>
      <c r="I1379" s="137"/>
      <c r="J1379" s="137"/>
      <c r="K1379" s="137"/>
      <c r="L1379" s="137"/>
      <c r="M1379" s="137"/>
      <c r="N1379" s="137"/>
      <c r="O1379" s="137"/>
      <c r="P1379" s="137"/>
      <c r="Q1379" s="137"/>
      <c r="R1379" s="137"/>
      <c r="S1379" s="137"/>
      <c r="T1379" s="137"/>
      <c r="U1379" s="137"/>
      <c r="V1379" s="137"/>
      <c r="W1379" s="137"/>
    </row>
    <row r="1380" spans="1:23" x14ac:dyDescent="0.25">
      <c r="A1380" s="137"/>
      <c r="B1380" s="137"/>
      <c r="C1380" s="137"/>
      <c r="D1380" s="137"/>
      <c r="E1380" s="137"/>
      <c r="F1380" s="137"/>
      <c r="G1380" s="137"/>
      <c r="H1380" s="137"/>
      <c r="I1380" s="137"/>
      <c r="J1380" s="137"/>
      <c r="K1380" s="137"/>
      <c r="L1380" s="137"/>
      <c r="M1380" s="137"/>
      <c r="N1380" s="137"/>
      <c r="O1380" s="137"/>
      <c r="P1380" s="137"/>
      <c r="Q1380" s="137"/>
      <c r="R1380" s="137"/>
      <c r="S1380" s="137"/>
      <c r="T1380" s="137"/>
      <c r="U1380" s="137"/>
      <c r="V1380" s="137"/>
      <c r="W1380" s="137"/>
    </row>
    <row r="1381" spans="1:23" x14ac:dyDescent="0.25">
      <c r="A1381" s="137"/>
      <c r="B1381" s="137"/>
      <c r="C1381" s="137"/>
      <c r="D1381" s="137"/>
      <c r="E1381" s="137"/>
      <c r="F1381" s="137"/>
      <c r="G1381" s="137"/>
      <c r="H1381" s="137"/>
      <c r="I1381" s="137"/>
      <c r="J1381" s="137"/>
      <c r="K1381" s="137"/>
      <c r="L1381" s="137"/>
      <c r="M1381" s="137"/>
      <c r="N1381" s="137"/>
      <c r="O1381" s="137"/>
      <c r="P1381" s="137"/>
      <c r="Q1381" s="137"/>
      <c r="R1381" s="137"/>
      <c r="S1381" s="137"/>
      <c r="T1381" s="137"/>
      <c r="U1381" s="137"/>
      <c r="V1381" s="137"/>
      <c r="W1381" s="137"/>
    </row>
    <row r="1382" spans="1:23" x14ac:dyDescent="0.25">
      <c r="A1382" s="137"/>
      <c r="B1382" s="137"/>
      <c r="C1382" s="137"/>
      <c r="D1382" s="137"/>
      <c r="E1382" s="137"/>
      <c r="F1382" s="137"/>
      <c r="G1382" s="137"/>
      <c r="H1382" s="137"/>
      <c r="I1382" s="137"/>
      <c r="J1382" s="137"/>
      <c r="K1382" s="137"/>
      <c r="L1382" s="137"/>
      <c r="M1382" s="137"/>
      <c r="N1382" s="137"/>
      <c r="O1382" s="137"/>
      <c r="P1382" s="137"/>
      <c r="Q1382" s="137"/>
      <c r="R1382" s="137"/>
      <c r="S1382" s="137"/>
      <c r="T1382" s="137"/>
      <c r="U1382" s="137"/>
      <c r="V1382" s="137"/>
      <c r="W1382" s="137"/>
    </row>
    <row r="1383" spans="1:23" x14ac:dyDescent="0.25">
      <c r="A1383" s="137"/>
      <c r="B1383" s="137"/>
      <c r="C1383" s="137"/>
      <c r="D1383" s="137"/>
      <c r="E1383" s="137"/>
      <c r="F1383" s="137"/>
      <c r="G1383" s="137"/>
      <c r="H1383" s="137"/>
      <c r="I1383" s="137"/>
      <c r="J1383" s="137"/>
      <c r="K1383" s="137"/>
      <c r="L1383" s="137"/>
      <c r="M1383" s="137"/>
      <c r="N1383" s="137"/>
      <c r="O1383" s="137"/>
      <c r="P1383" s="137"/>
      <c r="Q1383" s="137"/>
      <c r="R1383" s="137"/>
      <c r="S1383" s="137"/>
      <c r="T1383" s="137"/>
      <c r="U1383" s="137"/>
      <c r="V1383" s="137"/>
      <c r="W1383" s="137"/>
    </row>
    <row r="1384" spans="1:23" x14ac:dyDescent="0.25">
      <c r="A1384" s="137"/>
      <c r="B1384" s="137"/>
      <c r="C1384" s="137"/>
      <c r="D1384" s="137"/>
      <c r="E1384" s="137"/>
      <c r="F1384" s="137"/>
      <c r="G1384" s="137"/>
      <c r="H1384" s="137"/>
      <c r="I1384" s="137"/>
      <c r="J1384" s="137"/>
      <c r="K1384" s="137"/>
      <c r="L1384" s="137"/>
      <c r="M1384" s="137"/>
      <c r="N1384" s="137"/>
      <c r="O1384" s="137"/>
      <c r="P1384" s="137"/>
      <c r="Q1384" s="137"/>
      <c r="R1384" s="137"/>
      <c r="S1384" s="137"/>
      <c r="T1384" s="137"/>
      <c r="U1384" s="137"/>
      <c r="V1384" s="137"/>
      <c r="W1384" s="137"/>
    </row>
    <row r="1385" spans="1:23" x14ac:dyDescent="0.25">
      <c r="A1385" s="137"/>
      <c r="B1385" s="137"/>
      <c r="C1385" s="137"/>
      <c r="D1385" s="137"/>
      <c r="E1385" s="137"/>
      <c r="F1385" s="137"/>
      <c r="G1385" s="137"/>
      <c r="H1385" s="137"/>
      <c r="I1385" s="137"/>
      <c r="J1385" s="137"/>
      <c r="K1385" s="137"/>
      <c r="L1385" s="137"/>
      <c r="M1385" s="137"/>
      <c r="N1385" s="137"/>
      <c r="O1385" s="137"/>
      <c r="P1385" s="137"/>
      <c r="Q1385" s="137"/>
      <c r="R1385" s="137"/>
      <c r="S1385" s="137"/>
      <c r="T1385" s="137"/>
      <c r="U1385" s="137"/>
      <c r="V1385" s="137"/>
      <c r="W1385" s="137"/>
    </row>
    <row r="1386" spans="1:23" x14ac:dyDescent="0.25">
      <c r="A1386" s="137"/>
      <c r="B1386" s="137"/>
      <c r="C1386" s="137"/>
      <c r="D1386" s="137"/>
      <c r="E1386" s="137"/>
      <c r="F1386" s="137"/>
      <c r="G1386" s="137"/>
      <c r="H1386" s="137"/>
      <c r="I1386" s="137"/>
      <c r="J1386" s="137"/>
      <c r="K1386" s="137"/>
      <c r="L1386" s="137"/>
      <c r="M1386" s="137"/>
      <c r="N1386" s="137"/>
      <c r="O1386" s="137"/>
      <c r="P1386" s="137"/>
      <c r="Q1386" s="137"/>
      <c r="R1386" s="137"/>
      <c r="S1386" s="137"/>
      <c r="T1386" s="137"/>
      <c r="U1386" s="137"/>
      <c r="V1386" s="137"/>
      <c r="W1386" s="137"/>
    </row>
    <row r="1387" spans="1:23" x14ac:dyDescent="0.25">
      <c r="A1387" s="137"/>
      <c r="B1387" s="137"/>
      <c r="C1387" s="137"/>
      <c r="D1387" s="137"/>
      <c r="E1387" s="137"/>
      <c r="F1387" s="137"/>
      <c r="G1387" s="137"/>
      <c r="H1387" s="137"/>
      <c r="I1387" s="137"/>
      <c r="J1387" s="137"/>
      <c r="K1387" s="137"/>
      <c r="L1387" s="137"/>
      <c r="M1387" s="137"/>
      <c r="N1387" s="137"/>
      <c r="O1387" s="137"/>
      <c r="P1387" s="137"/>
      <c r="Q1387" s="137"/>
      <c r="R1387" s="137"/>
      <c r="S1387" s="137"/>
      <c r="T1387" s="137"/>
      <c r="U1387" s="137"/>
      <c r="V1387" s="137"/>
      <c r="W1387" s="137"/>
    </row>
    <row r="1388" spans="1:23" x14ac:dyDescent="0.25">
      <c r="A1388" s="137"/>
      <c r="B1388" s="137"/>
      <c r="C1388" s="137"/>
      <c r="D1388" s="137"/>
      <c r="E1388" s="137"/>
      <c r="F1388" s="137"/>
      <c r="G1388" s="137"/>
      <c r="H1388" s="137"/>
      <c r="I1388" s="137"/>
      <c r="J1388" s="137"/>
      <c r="K1388" s="137"/>
      <c r="L1388" s="137"/>
      <c r="M1388" s="137"/>
      <c r="N1388" s="137"/>
      <c r="O1388" s="137"/>
      <c r="P1388" s="137"/>
      <c r="Q1388" s="137"/>
      <c r="R1388" s="137"/>
      <c r="S1388" s="137"/>
      <c r="T1388" s="137"/>
      <c r="U1388" s="137"/>
      <c r="V1388" s="137"/>
      <c r="W1388" s="137"/>
    </row>
    <row r="1389" spans="1:23" x14ac:dyDescent="0.25">
      <c r="A1389" s="137"/>
      <c r="B1389" s="137"/>
      <c r="C1389" s="137"/>
      <c r="D1389" s="137"/>
      <c r="E1389" s="137"/>
      <c r="F1389" s="137"/>
      <c r="G1389" s="137"/>
      <c r="H1389" s="137"/>
      <c r="I1389" s="137"/>
      <c r="J1389" s="137"/>
      <c r="K1389" s="137"/>
      <c r="L1389" s="137"/>
      <c r="M1389" s="137"/>
      <c r="N1389" s="137"/>
      <c r="O1389" s="137"/>
      <c r="P1389" s="137"/>
      <c r="Q1389" s="137"/>
      <c r="R1389" s="137"/>
      <c r="S1389" s="137"/>
      <c r="T1389" s="137"/>
      <c r="U1389" s="137"/>
      <c r="V1389" s="137"/>
      <c r="W1389" s="137"/>
    </row>
    <row r="1390" spans="1:23" x14ac:dyDescent="0.25">
      <c r="A1390" s="137"/>
      <c r="B1390" s="137"/>
      <c r="C1390" s="137"/>
      <c r="D1390" s="137"/>
      <c r="E1390" s="137"/>
      <c r="F1390" s="137"/>
      <c r="G1390" s="137"/>
      <c r="H1390" s="137"/>
      <c r="I1390" s="137"/>
      <c r="J1390" s="137"/>
      <c r="K1390" s="137"/>
      <c r="L1390" s="137"/>
      <c r="M1390" s="137"/>
      <c r="N1390" s="137"/>
      <c r="O1390" s="137"/>
      <c r="P1390" s="137"/>
      <c r="Q1390" s="137"/>
      <c r="R1390" s="137"/>
      <c r="S1390" s="137"/>
      <c r="T1390" s="137"/>
      <c r="U1390" s="137"/>
      <c r="V1390" s="137"/>
      <c r="W1390" s="137"/>
    </row>
    <row r="1391" spans="1:23" x14ac:dyDescent="0.25">
      <c r="A1391" s="137"/>
      <c r="B1391" s="137"/>
      <c r="C1391" s="137"/>
      <c r="D1391" s="137"/>
      <c r="E1391" s="137"/>
      <c r="F1391" s="137"/>
      <c r="G1391" s="137"/>
      <c r="H1391" s="137"/>
      <c r="I1391" s="137"/>
      <c r="J1391" s="137"/>
      <c r="K1391" s="137"/>
      <c r="L1391" s="137"/>
      <c r="M1391" s="137"/>
      <c r="N1391" s="137"/>
      <c r="O1391" s="137"/>
      <c r="P1391" s="137"/>
      <c r="Q1391" s="137"/>
      <c r="R1391" s="137"/>
      <c r="S1391" s="137"/>
      <c r="T1391" s="137"/>
      <c r="U1391" s="137"/>
      <c r="V1391" s="137"/>
      <c r="W1391" s="137"/>
    </row>
    <row r="1392" spans="1:23" x14ac:dyDescent="0.25">
      <c r="A1392" s="137"/>
      <c r="B1392" s="137"/>
      <c r="C1392" s="137"/>
      <c r="D1392" s="137"/>
      <c r="E1392" s="137"/>
      <c r="F1392" s="137"/>
      <c r="G1392" s="137"/>
      <c r="H1392" s="137"/>
      <c r="I1392" s="137"/>
      <c r="J1392" s="137"/>
      <c r="K1392" s="137"/>
      <c r="L1392" s="137"/>
      <c r="M1392" s="137"/>
      <c r="N1392" s="137"/>
      <c r="O1392" s="137"/>
      <c r="P1392" s="137"/>
      <c r="Q1392" s="137"/>
      <c r="R1392" s="137"/>
      <c r="S1392" s="137"/>
      <c r="T1392" s="137"/>
      <c r="U1392" s="137"/>
      <c r="V1392" s="137"/>
      <c r="W1392" s="137"/>
    </row>
    <row r="1393" spans="1:23" x14ac:dyDescent="0.25">
      <c r="A1393" s="137"/>
      <c r="B1393" s="137"/>
      <c r="C1393" s="137"/>
      <c r="D1393" s="137"/>
      <c r="E1393" s="137"/>
      <c r="F1393" s="137"/>
      <c r="G1393" s="137"/>
      <c r="H1393" s="137"/>
      <c r="I1393" s="137"/>
      <c r="J1393" s="137"/>
      <c r="K1393" s="137"/>
      <c r="L1393" s="137"/>
      <c r="M1393" s="137"/>
      <c r="N1393" s="137"/>
      <c r="O1393" s="137"/>
      <c r="P1393" s="137"/>
      <c r="Q1393" s="137"/>
      <c r="R1393" s="137"/>
      <c r="S1393" s="137"/>
      <c r="T1393" s="137"/>
      <c r="U1393" s="137"/>
      <c r="V1393" s="137"/>
      <c r="W1393" s="137"/>
    </row>
    <row r="1394" spans="1:23" x14ac:dyDescent="0.25">
      <c r="A1394" s="137"/>
      <c r="B1394" s="137"/>
      <c r="C1394" s="137"/>
      <c r="D1394" s="137"/>
      <c r="E1394" s="137"/>
      <c r="F1394" s="137"/>
      <c r="G1394" s="137"/>
      <c r="H1394" s="137"/>
      <c r="I1394" s="137"/>
      <c r="J1394" s="137"/>
      <c r="K1394" s="137"/>
      <c r="L1394" s="137"/>
      <c r="M1394" s="137"/>
      <c r="N1394" s="137"/>
      <c r="O1394" s="137"/>
      <c r="P1394" s="137"/>
      <c r="Q1394" s="137"/>
      <c r="R1394" s="137"/>
      <c r="S1394" s="137"/>
      <c r="T1394" s="137"/>
      <c r="U1394" s="137"/>
      <c r="V1394" s="137"/>
      <c r="W1394" s="137"/>
    </row>
    <row r="1395" spans="1:23" x14ac:dyDescent="0.25">
      <c r="A1395" s="137"/>
      <c r="B1395" s="137"/>
      <c r="C1395" s="137"/>
      <c r="D1395" s="137"/>
      <c r="E1395" s="137"/>
      <c r="F1395" s="137"/>
      <c r="G1395" s="137"/>
      <c r="H1395" s="137"/>
      <c r="I1395" s="137"/>
      <c r="J1395" s="137"/>
      <c r="K1395" s="137"/>
      <c r="L1395" s="137"/>
      <c r="M1395" s="137"/>
      <c r="N1395" s="137"/>
      <c r="O1395" s="137"/>
      <c r="P1395" s="137"/>
      <c r="Q1395" s="137"/>
      <c r="R1395" s="137"/>
      <c r="S1395" s="137"/>
      <c r="T1395" s="137"/>
      <c r="U1395" s="137"/>
      <c r="V1395" s="137"/>
      <c r="W1395" s="137"/>
    </row>
    <row r="1396" spans="1:23" x14ac:dyDescent="0.25">
      <c r="A1396" s="137"/>
      <c r="B1396" s="137"/>
      <c r="C1396" s="137"/>
      <c r="D1396" s="137"/>
      <c r="E1396" s="137"/>
      <c r="F1396" s="137"/>
      <c r="G1396" s="137"/>
      <c r="H1396" s="137"/>
      <c r="I1396" s="137"/>
      <c r="J1396" s="137"/>
      <c r="K1396" s="137"/>
      <c r="L1396" s="137"/>
      <c r="M1396" s="137"/>
      <c r="N1396" s="137"/>
      <c r="O1396" s="137"/>
      <c r="P1396" s="137"/>
      <c r="Q1396" s="137"/>
      <c r="R1396" s="137"/>
      <c r="S1396" s="137"/>
      <c r="T1396" s="137"/>
      <c r="U1396" s="137"/>
      <c r="V1396" s="137"/>
      <c r="W1396" s="137"/>
    </row>
    <row r="1397" spans="1:23" x14ac:dyDescent="0.25">
      <c r="A1397" s="137"/>
      <c r="B1397" s="137"/>
      <c r="C1397" s="137"/>
      <c r="D1397" s="137"/>
      <c r="E1397" s="137"/>
      <c r="F1397" s="137"/>
      <c r="G1397" s="137"/>
      <c r="H1397" s="137"/>
      <c r="I1397" s="137"/>
      <c r="J1397" s="137"/>
      <c r="K1397" s="137"/>
      <c r="L1397" s="137"/>
      <c r="M1397" s="137"/>
      <c r="N1397" s="137"/>
      <c r="O1397" s="137"/>
      <c r="P1397" s="137"/>
      <c r="Q1397" s="137"/>
      <c r="R1397" s="137"/>
      <c r="S1397" s="137"/>
      <c r="T1397" s="137"/>
      <c r="U1397" s="137"/>
      <c r="V1397" s="137"/>
      <c r="W1397" s="137"/>
    </row>
    <row r="1398" spans="1:23" x14ac:dyDescent="0.25">
      <c r="A1398" s="137"/>
      <c r="B1398" s="137"/>
      <c r="C1398" s="137"/>
      <c r="D1398" s="137"/>
      <c r="E1398" s="137"/>
      <c r="F1398" s="137"/>
      <c r="G1398" s="137"/>
      <c r="H1398" s="137"/>
      <c r="I1398" s="137"/>
      <c r="J1398" s="137"/>
      <c r="K1398" s="137"/>
      <c r="L1398" s="137"/>
      <c r="M1398" s="137"/>
      <c r="N1398" s="137"/>
      <c r="O1398" s="137"/>
      <c r="P1398" s="137"/>
      <c r="Q1398" s="137"/>
      <c r="R1398" s="137"/>
      <c r="S1398" s="137"/>
      <c r="T1398" s="137"/>
      <c r="U1398" s="137"/>
      <c r="V1398" s="137"/>
      <c r="W1398" s="137"/>
    </row>
    <row r="1399" spans="1:23" x14ac:dyDescent="0.25">
      <c r="A1399" s="137"/>
      <c r="B1399" s="137"/>
      <c r="C1399" s="137"/>
      <c r="D1399" s="137"/>
      <c r="E1399" s="137"/>
      <c r="F1399" s="137"/>
      <c r="G1399" s="137"/>
      <c r="H1399" s="137"/>
      <c r="I1399" s="137"/>
      <c r="J1399" s="137"/>
      <c r="K1399" s="137"/>
      <c r="L1399" s="137"/>
      <c r="M1399" s="137"/>
      <c r="N1399" s="137"/>
      <c r="O1399" s="137"/>
      <c r="P1399" s="137"/>
      <c r="Q1399" s="137"/>
      <c r="R1399" s="137"/>
      <c r="S1399" s="137"/>
      <c r="T1399" s="137"/>
      <c r="U1399" s="137"/>
      <c r="V1399" s="137"/>
      <c r="W1399" s="137"/>
    </row>
    <row r="1400" spans="1:23" x14ac:dyDescent="0.25">
      <c r="A1400" s="137"/>
      <c r="B1400" s="137"/>
      <c r="C1400" s="137"/>
      <c r="D1400" s="137"/>
      <c r="E1400" s="137"/>
      <c r="F1400" s="137"/>
      <c r="G1400" s="137"/>
      <c r="H1400" s="137"/>
      <c r="I1400" s="137"/>
      <c r="J1400" s="137"/>
      <c r="K1400" s="137"/>
      <c r="L1400" s="137"/>
      <c r="M1400" s="137"/>
      <c r="N1400" s="137"/>
      <c r="O1400" s="137"/>
      <c r="P1400" s="137"/>
      <c r="Q1400" s="137"/>
      <c r="R1400" s="137"/>
      <c r="S1400" s="137"/>
      <c r="T1400" s="137"/>
      <c r="U1400" s="137"/>
      <c r="V1400" s="137"/>
      <c r="W1400" s="137"/>
    </row>
    <row r="1401" spans="1:23" x14ac:dyDescent="0.25">
      <c r="A1401" s="137"/>
      <c r="B1401" s="137"/>
      <c r="C1401" s="137"/>
      <c r="D1401" s="137"/>
      <c r="E1401" s="137"/>
      <c r="F1401" s="137"/>
      <c r="G1401" s="137"/>
      <c r="H1401" s="137"/>
      <c r="I1401" s="137"/>
      <c r="J1401" s="137"/>
      <c r="K1401" s="137"/>
      <c r="L1401" s="137"/>
      <c r="M1401" s="137"/>
      <c r="N1401" s="137"/>
      <c r="O1401" s="137"/>
      <c r="P1401" s="137"/>
      <c r="Q1401" s="137"/>
      <c r="R1401" s="137"/>
      <c r="S1401" s="137"/>
      <c r="T1401" s="137"/>
      <c r="U1401" s="137"/>
      <c r="V1401" s="137"/>
      <c r="W1401" s="137"/>
    </row>
    <row r="1402" spans="1:23" x14ac:dyDescent="0.25">
      <c r="A1402" s="137"/>
      <c r="B1402" s="137"/>
      <c r="C1402" s="137"/>
      <c r="D1402" s="137"/>
      <c r="E1402" s="137"/>
      <c r="F1402" s="137"/>
      <c r="G1402" s="137"/>
      <c r="H1402" s="137"/>
      <c r="I1402" s="137"/>
      <c r="J1402" s="137"/>
      <c r="K1402" s="137"/>
      <c r="L1402" s="137"/>
      <c r="M1402" s="137"/>
      <c r="N1402" s="137"/>
      <c r="O1402" s="137"/>
      <c r="P1402" s="137"/>
      <c r="Q1402" s="137"/>
      <c r="R1402" s="137"/>
      <c r="S1402" s="137"/>
      <c r="T1402" s="137"/>
      <c r="U1402" s="137"/>
      <c r="V1402" s="137"/>
      <c r="W1402" s="137"/>
    </row>
    <row r="1403" spans="1:23" x14ac:dyDescent="0.25">
      <c r="A1403" s="137"/>
      <c r="B1403" s="137"/>
      <c r="C1403" s="137"/>
      <c r="D1403" s="137"/>
      <c r="E1403" s="137"/>
      <c r="F1403" s="137"/>
      <c r="G1403" s="137"/>
      <c r="H1403" s="137"/>
      <c r="I1403" s="137"/>
      <c r="J1403" s="137"/>
      <c r="K1403" s="137"/>
      <c r="L1403" s="137"/>
      <c r="M1403" s="137"/>
      <c r="N1403" s="137"/>
      <c r="O1403" s="137"/>
      <c r="P1403" s="137"/>
      <c r="Q1403" s="137"/>
      <c r="R1403" s="137"/>
      <c r="S1403" s="137"/>
      <c r="T1403" s="137"/>
      <c r="U1403" s="137"/>
      <c r="V1403" s="137"/>
      <c r="W1403" s="137"/>
    </row>
    <row r="1404" spans="1:23" x14ac:dyDescent="0.25">
      <c r="A1404" s="137"/>
      <c r="B1404" s="137"/>
      <c r="C1404" s="137"/>
      <c r="D1404" s="137"/>
      <c r="E1404" s="137"/>
      <c r="F1404" s="137"/>
      <c r="G1404" s="137"/>
      <c r="H1404" s="137"/>
      <c r="I1404" s="137"/>
      <c r="J1404" s="137"/>
      <c r="K1404" s="137"/>
      <c r="L1404" s="137"/>
      <c r="M1404" s="137"/>
      <c r="N1404" s="137"/>
      <c r="O1404" s="137"/>
      <c r="P1404" s="137"/>
      <c r="Q1404" s="137"/>
      <c r="R1404" s="137"/>
      <c r="S1404" s="137"/>
      <c r="T1404" s="137"/>
      <c r="U1404" s="137"/>
      <c r="V1404" s="137"/>
      <c r="W1404" s="137"/>
    </row>
    <row r="1405" spans="1:23" x14ac:dyDescent="0.25">
      <c r="A1405" s="137"/>
      <c r="B1405" s="137"/>
      <c r="C1405" s="137"/>
      <c r="D1405" s="137"/>
      <c r="E1405" s="137"/>
      <c r="F1405" s="137"/>
      <c r="G1405" s="137"/>
      <c r="H1405" s="137"/>
      <c r="I1405" s="137"/>
      <c r="J1405" s="137"/>
      <c r="K1405" s="137"/>
      <c r="L1405" s="137"/>
      <c r="M1405" s="137"/>
      <c r="N1405" s="137"/>
      <c r="O1405" s="137"/>
      <c r="P1405" s="137"/>
      <c r="Q1405" s="137"/>
      <c r="R1405" s="137"/>
      <c r="S1405" s="137"/>
      <c r="T1405" s="137"/>
      <c r="U1405" s="137"/>
      <c r="V1405" s="137"/>
      <c r="W1405" s="137"/>
    </row>
    <row r="1406" spans="1:23" x14ac:dyDescent="0.25">
      <c r="A1406" s="137"/>
      <c r="B1406" s="137"/>
      <c r="C1406" s="137"/>
      <c r="D1406" s="137"/>
      <c r="E1406" s="137"/>
      <c r="F1406" s="137"/>
      <c r="G1406" s="137"/>
      <c r="H1406" s="137"/>
      <c r="I1406" s="137"/>
      <c r="J1406" s="137"/>
      <c r="K1406" s="137"/>
      <c r="L1406" s="137"/>
      <c r="M1406" s="137"/>
      <c r="N1406" s="137"/>
      <c r="O1406" s="137"/>
      <c r="P1406" s="137"/>
      <c r="Q1406" s="137"/>
      <c r="R1406" s="137"/>
      <c r="S1406" s="137"/>
      <c r="T1406" s="137"/>
      <c r="U1406" s="137"/>
      <c r="V1406" s="137"/>
      <c r="W1406" s="137"/>
    </row>
    <row r="1407" spans="1:23" x14ac:dyDescent="0.25">
      <c r="A1407" s="137"/>
      <c r="B1407" s="137"/>
      <c r="C1407" s="137"/>
      <c r="D1407" s="137"/>
      <c r="E1407" s="137"/>
      <c r="F1407" s="137"/>
      <c r="G1407" s="137"/>
      <c r="H1407" s="137"/>
      <c r="I1407" s="137"/>
      <c r="J1407" s="137"/>
      <c r="K1407" s="137"/>
      <c r="L1407" s="137"/>
      <c r="M1407" s="137"/>
      <c r="N1407" s="137"/>
      <c r="O1407" s="137"/>
      <c r="P1407" s="137"/>
      <c r="Q1407" s="137"/>
      <c r="R1407" s="137"/>
      <c r="S1407" s="137"/>
      <c r="T1407" s="137"/>
      <c r="U1407" s="137"/>
      <c r="V1407" s="137"/>
      <c r="W1407" s="137"/>
    </row>
    <row r="1408" spans="1:23" x14ac:dyDescent="0.25">
      <c r="A1408" s="137"/>
      <c r="B1408" s="137"/>
      <c r="C1408" s="137"/>
      <c r="D1408" s="137"/>
      <c r="E1408" s="137"/>
      <c r="F1408" s="137"/>
      <c r="G1408" s="137"/>
      <c r="H1408" s="137"/>
      <c r="I1408" s="137"/>
      <c r="J1408" s="137"/>
      <c r="K1408" s="137"/>
      <c r="L1408" s="137"/>
      <c r="M1408" s="137"/>
      <c r="N1408" s="137"/>
      <c r="O1408" s="137"/>
      <c r="P1408" s="137"/>
      <c r="Q1408" s="137"/>
      <c r="R1408" s="137"/>
      <c r="S1408" s="137"/>
      <c r="T1408" s="137"/>
      <c r="U1408" s="137"/>
      <c r="V1408" s="137"/>
      <c r="W1408" s="137"/>
    </row>
    <row r="1409" spans="1:23" x14ac:dyDescent="0.25">
      <c r="A1409" s="137"/>
      <c r="B1409" s="137"/>
      <c r="C1409" s="137"/>
      <c r="D1409" s="137"/>
      <c r="E1409" s="137"/>
      <c r="F1409" s="137"/>
      <c r="G1409" s="137"/>
      <c r="H1409" s="137"/>
      <c r="I1409" s="137"/>
      <c r="J1409" s="137"/>
      <c r="K1409" s="137"/>
      <c r="L1409" s="137"/>
      <c r="M1409" s="137"/>
      <c r="N1409" s="137"/>
      <c r="O1409" s="137"/>
      <c r="P1409" s="137"/>
      <c r="Q1409" s="137"/>
      <c r="R1409" s="137"/>
      <c r="S1409" s="137"/>
      <c r="T1409" s="137"/>
      <c r="U1409" s="137"/>
      <c r="V1409" s="137"/>
      <c r="W1409" s="137"/>
    </row>
    <row r="1410" spans="1:23" x14ac:dyDescent="0.25">
      <c r="A1410" s="137"/>
      <c r="B1410" s="137"/>
      <c r="C1410" s="137"/>
      <c r="D1410" s="137"/>
      <c r="E1410" s="137"/>
      <c r="F1410" s="137"/>
      <c r="G1410" s="137"/>
      <c r="H1410" s="137"/>
      <c r="I1410" s="137"/>
      <c r="J1410" s="137"/>
      <c r="K1410" s="137"/>
      <c r="L1410" s="137"/>
      <c r="M1410" s="137"/>
      <c r="N1410" s="137"/>
      <c r="O1410" s="137"/>
      <c r="P1410" s="137"/>
      <c r="Q1410" s="137"/>
      <c r="R1410" s="137"/>
      <c r="S1410" s="137"/>
      <c r="T1410" s="137"/>
      <c r="U1410" s="137"/>
      <c r="V1410" s="137"/>
      <c r="W1410" s="137"/>
    </row>
    <row r="1411" spans="1:23" x14ac:dyDescent="0.25">
      <c r="A1411" s="137"/>
      <c r="B1411" s="137"/>
      <c r="C1411" s="137"/>
      <c r="D1411" s="137"/>
      <c r="E1411" s="137"/>
      <c r="F1411" s="137"/>
      <c r="G1411" s="137"/>
      <c r="H1411" s="137"/>
      <c r="I1411" s="137"/>
      <c r="J1411" s="137"/>
      <c r="K1411" s="137"/>
      <c r="L1411" s="137"/>
      <c r="M1411" s="137"/>
      <c r="N1411" s="137"/>
      <c r="O1411" s="137"/>
      <c r="P1411" s="137"/>
      <c r="Q1411" s="137"/>
      <c r="R1411" s="137"/>
      <c r="S1411" s="137"/>
      <c r="T1411" s="137"/>
      <c r="U1411" s="137"/>
      <c r="V1411" s="137"/>
      <c r="W1411" s="137"/>
    </row>
    <row r="1412" spans="1:23" x14ac:dyDescent="0.25">
      <c r="A1412" s="137"/>
      <c r="B1412" s="137"/>
      <c r="C1412" s="137"/>
      <c r="D1412" s="137"/>
      <c r="E1412" s="137"/>
      <c r="F1412" s="137"/>
      <c r="G1412" s="137"/>
      <c r="H1412" s="137"/>
      <c r="I1412" s="137"/>
      <c r="J1412" s="137"/>
      <c r="K1412" s="137"/>
      <c r="L1412" s="137"/>
      <c r="M1412" s="137"/>
      <c r="N1412" s="137"/>
      <c r="O1412" s="137"/>
      <c r="P1412" s="137"/>
      <c r="Q1412" s="137"/>
      <c r="R1412" s="137"/>
      <c r="S1412" s="137"/>
      <c r="T1412" s="137"/>
      <c r="U1412" s="137"/>
      <c r="V1412" s="137"/>
      <c r="W1412" s="137"/>
    </row>
    <row r="1413" spans="1:23" x14ac:dyDescent="0.25">
      <c r="A1413" s="137"/>
      <c r="B1413" s="137"/>
      <c r="C1413" s="137"/>
      <c r="D1413" s="137"/>
      <c r="E1413" s="137"/>
      <c r="F1413" s="137"/>
      <c r="G1413" s="137"/>
      <c r="H1413" s="137"/>
      <c r="I1413" s="137"/>
      <c r="J1413" s="137"/>
      <c r="K1413" s="137"/>
      <c r="L1413" s="137"/>
      <c r="M1413" s="137"/>
      <c r="N1413" s="137"/>
      <c r="O1413" s="137"/>
      <c r="P1413" s="137"/>
      <c r="Q1413" s="137"/>
      <c r="R1413" s="137"/>
      <c r="S1413" s="137"/>
      <c r="T1413" s="137"/>
      <c r="U1413" s="137"/>
      <c r="V1413" s="137"/>
      <c r="W1413" s="137"/>
    </row>
    <row r="1414" spans="1:23" x14ac:dyDescent="0.25">
      <c r="A1414" s="137"/>
      <c r="B1414" s="137"/>
      <c r="C1414" s="137"/>
      <c r="D1414" s="137"/>
      <c r="E1414" s="137"/>
      <c r="F1414" s="137"/>
      <c r="G1414" s="137"/>
      <c r="H1414" s="137"/>
      <c r="I1414" s="137"/>
      <c r="J1414" s="137"/>
      <c r="K1414" s="137"/>
      <c r="L1414" s="137"/>
      <c r="M1414" s="137"/>
      <c r="N1414" s="137"/>
      <c r="O1414" s="137"/>
      <c r="P1414" s="137"/>
      <c r="Q1414" s="137"/>
      <c r="R1414" s="137"/>
      <c r="S1414" s="137"/>
      <c r="T1414" s="137"/>
      <c r="U1414" s="137"/>
      <c r="V1414" s="137"/>
      <c r="W1414" s="137"/>
    </row>
    <row r="1415" spans="1:23" x14ac:dyDescent="0.25">
      <c r="A1415" s="137"/>
      <c r="B1415" s="137"/>
      <c r="C1415" s="137"/>
      <c r="D1415" s="137"/>
      <c r="E1415" s="137"/>
      <c r="F1415" s="137"/>
      <c r="G1415" s="137"/>
      <c r="H1415" s="137"/>
      <c r="I1415" s="137"/>
      <c r="J1415" s="137"/>
      <c r="K1415" s="137"/>
      <c r="L1415" s="137"/>
      <c r="M1415" s="137"/>
      <c r="N1415" s="137"/>
      <c r="O1415" s="137"/>
      <c r="P1415" s="137"/>
      <c r="Q1415" s="137"/>
      <c r="R1415" s="137"/>
      <c r="S1415" s="137"/>
      <c r="T1415" s="137"/>
      <c r="U1415" s="137"/>
      <c r="V1415" s="137"/>
      <c r="W1415" s="137"/>
    </row>
    <row r="1416" spans="1:23" x14ac:dyDescent="0.25">
      <c r="A1416" s="137"/>
      <c r="B1416" s="137"/>
      <c r="C1416" s="137"/>
      <c r="D1416" s="137"/>
      <c r="E1416" s="137"/>
      <c r="F1416" s="137"/>
      <c r="G1416" s="137"/>
      <c r="H1416" s="137"/>
      <c r="I1416" s="137"/>
      <c r="J1416" s="137"/>
      <c r="K1416" s="137"/>
      <c r="L1416" s="137"/>
      <c r="M1416" s="137"/>
      <c r="N1416" s="137"/>
      <c r="O1416" s="137"/>
      <c r="P1416" s="137"/>
      <c r="Q1416" s="137"/>
      <c r="R1416" s="137"/>
      <c r="S1416" s="137"/>
      <c r="T1416" s="137"/>
      <c r="U1416" s="137"/>
      <c r="V1416" s="137"/>
      <c r="W1416" s="137"/>
    </row>
    <row r="1417" spans="1:23" x14ac:dyDescent="0.25">
      <c r="A1417" s="137"/>
      <c r="B1417" s="137"/>
      <c r="C1417" s="137"/>
      <c r="D1417" s="137"/>
      <c r="E1417" s="137"/>
      <c r="F1417" s="137"/>
      <c r="G1417" s="137"/>
      <c r="H1417" s="137"/>
      <c r="I1417" s="137"/>
      <c r="J1417" s="137"/>
      <c r="K1417" s="137"/>
      <c r="L1417" s="137"/>
      <c r="M1417" s="137"/>
      <c r="N1417" s="137"/>
      <c r="O1417" s="137"/>
      <c r="P1417" s="137"/>
      <c r="Q1417" s="137"/>
      <c r="R1417" s="137"/>
      <c r="S1417" s="137"/>
      <c r="T1417" s="137"/>
      <c r="U1417" s="137"/>
      <c r="V1417" s="137"/>
      <c r="W1417" s="137"/>
    </row>
    <row r="1418" spans="1:23" x14ac:dyDescent="0.25">
      <c r="A1418" s="137"/>
      <c r="B1418" s="137"/>
      <c r="C1418" s="137"/>
      <c r="D1418" s="137"/>
      <c r="E1418" s="137"/>
      <c r="F1418" s="137"/>
      <c r="G1418" s="137"/>
      <c r="H1418" s="137"/>
      <c r="I1418" s="137"/>
      <c r="J1418" s="137"/>
      <c r="K1418" s="137"/>
      <c r="L1418" s="137"/>
      <c r="M1418" s="137"/>
      <c r="N1418" s="137"/>
      <c r="O1418" s="137"/>
      <c r="P1418" s="137"/>
      <c r="Q1418" s="137"/>
      <c r="R1418" s="137"/>
      <c r="S1418" s="137"/>
      <c r="T1418" s="137"/>
      <c r="U1418" s="137"/>
      <c r="V1418" s="137"/>
      <c r="W1418" s="137"/>
    </row>
    <row r="1419" spans="1:23" x14ac:dyDescent="0.25">
      <c r="A1419" s="137"/>
      <c r="B1419" s="137"/>
      <c r="C1419" s="137"/>
      <c r="D1419" s="137"/>
      <c r="E1419" s="137"/>
      <c r="F1419" s="137"/>
      <c r="G1419" s="137"/>
      <c r="H1419" s="137"/>
      <c r="I1419" s="137"/>
      <c r="J1419" s="137"/>
      <c r="K1419" s="137"/>
      <c r="L1419" s="137"/>
      <c r="M1419" s="137"/>
      <c r="N1419" s="137"/>
      <c r="O1419" s="137"/>
      <c r="P1419" s="137"/>
      <c r="Q1419" s="137"/>
      <c r="R1419" s="137"/>
      <c r="S1419" s="137"/>
      <c r="T1419" s="137"/>
      <c r="U1419" s="137"/>
      <c r="V1419" s="137"/>
      <c r="W1419" s="137"/>
    </row>
    <row r="1420" spans="1:23" x14ac:dyDescent="0.25">
      <c r="A1420" s="137"/>
      <c r="B1420" s="137"/>
      <c r="C1420" s="137"/>
      <c r="D1420" s="137"/>
      <c r="E1420" s="137"/>
      <c r="F1420" s="137"/>
      <c r="G1420" s="137"/>
      <c r="H1420" s="137"/>
      <c r="I1420" s="137"/>
      <c r="J1420" s="137"/>
      <c r="K1420" s="137"/>
      <c r="L1420" s="137"/>
      <c r="M1420" s="137"/>
      <c r="N1420" s="137"/>
      <c r="O1420" s="137"/>
      <c r="P1420" s="137"/>
      <c r="Q1420" s="137"/>
      <c r="R1420" s="137"/>
      <c r="S1420" s="137"/>
      <c r="T1420" s="137"/>
      <c r="U1420" s="137"/>
      <c r="V1420" s="137"/>
      <c r="W1420" s="137"/>
    </row>
    <row r="1421" spans="1:23" x14ac:dyDescent="0.25">
      <c r="A1421" s="137"/>
      <c r="B1421" s="137"/>
      <c r="C1421" s="137"/>
      <c r="D1421" s="137"/>
      <c r="E1421" s="137"/>
      <c r="F1421" s="137"/>
      <c r="G1421" s="137"/>
      <c r="H1421" s="137"/>
      <c r="I1421" s="137"/>
      <c r="J1421" s="137"/>
      <c r="K1421" s="137"/>
      <c r="L1421" s="137"/>
      <c r="M1421" s="137"/>
      <c r="N1421" s="137"/>
      <c r="O1421" s="137"/>
      <c r="P1421" s="137"/>
      <c r="Q1421" s="137"/>
      <c r="R1421" s="137"/>
      <c r="S1421" s="137"/>
      <c r="T1421" s="137"/>
      <c r="U1421" s="137"/>
      <c r="V1421" s="137"/>
      <c r="W1421" s="137"/>
    </row>
    <row r="1422" spans="1:23" x14ac:dyDescent="0.25">
      <c r="A1422" s="137"/>
      <c r="B1422" s="137"/>
      <c r="C1422" s="137"/>
      <c r="D1422" s="137"/>
      <c r="E1422" s="137"/>
      <c r="F1422" s="137"/>
      <c r="G1422" s="137"/>
      <c r="H1422" s="137"/>
      <c r="I1422" s="137"/>
      <c r="J1422" s="137"/>
      <c r="K1422" s="137"/>
      <c r="L1422" s="137"/>
      <c r="M1422" s="137"/>
      <c r="N1422" s="137"/>
      <c r="O1422" s="137"/>
      <c r="P1422" s="137"/>
      <c r="Q1422" s="137"/>
      <c r="R1422" s="137"/>
      <c r="S1422" s="137"/>
      <c r="T1422" s="137"/>
      <c r="U1422" s="137"/>
      <c r="V1422" s="137"/>
      <c r="W1422" s="137"/>
    </row>
    <row r="1423" spans="1:23" x14ac:dyDescent="0.25">
      <c r="A1423" s="137"/>
      <c r="B1423" s="137"/>
      <c r="C1423" s="137"/>
      <c r="D1423" s="137"/>
      <c r="E1423" s="137"/>
      <c r="F1423" s="137"/>
      <c r="G1423" s="137"/>
      <c r="H1423" s="137"/>
      <c r="I1423" s="137"/>
      <c r="J1423" s="137"/>
      <c r="K1423" s="137"/>
      <c r="L1423" s="137"/>
      <c r="M1423" s="137"/>
      <c r="N1423" s="137"/>
      <c r="O1423" s="137"/>
      <c r="P1423" s="137"/>
      <c r="Q1423" s="137"/>
      <c r="R1423" s="137"/>
      <c r="S1423" s="137"/>
      <c r="T1423" s="137"/>
      <c r="U1423" s="137"/>
      <c r="V1423" s="137"/>
      <c r="W1423" s="137"/>
    </row>
    <row r="1424" spans="1:23" x14ac:dyDescent="0.25">
      <c r="A1424" s="137"/>
      <c r="B1424" s="137"/>
      <c r="C1424" s="137"/>
      <c r="D1424" s="137"/>
      <c r="E1424" s="137"/>
      <c r="F1424" s="137"/>
      <c r="G1424" s="137"/>
      <c r="H1424" s="137"/>
      <c r="I1424" s="137"/>
      <c r="J1424" s="137"/>
      <c r="K1424" s="137"/>
      <c r="L1424" s="137"/>
      <c r="M1424" s="137"/>
      <c r="N1424" s="137"/>
      <c r="O1424" s="137"/>
      <c r="P1424" s="137"/>
      <c r="Q1424" s="137"/>
      <c r="R1424" s="137"/>
      <c r="S1424" s="137"/>
      <c r="T1424" s="137"/>
      <c r="U1424" s="137"/>
      <c r="V1424" s="137"/>
      <c r="W1424" s="137"/>
    </row>
    <row r="1425" spans="1:23" x14ac:dyDescent="0.25">
      <c r="A1425" s="137"/>
      <c r="B1425" s="137"/>
      <c r="C1425" s="137"/>
      <c r="D1425" s="137"/>
      <c r="E1425" s="137"/>
      <c r="F1425" s="137"/>
      <c r="G1425" s="137"/>
      <c r="H1425" s="137"/>
      <c r="I1425" s="137"/>
      <c r="J1425" s="137"/>
      <c r="K1425" s="137"/>
      <c r="L1425" s="137"/>
      <c r="M1425" s="137"/>
      <c r="N1425" s="137"/>
      <c r="O1425" s="137"/>
      <c r="P1425" s="137"/>
      <c r="Q1425" s="137"/>
      <c r="R1425" s="137"/>
      <c r="S1425" s="137"/>
      <c r="T1425" s="137"/>
      <c r="U1425" s="137"/>
      <c r="V1425" s="137"/>
      <c r="W1425" s="137"/>
    </row>
    <row r="1426" spans="1:23" x14ac:dyDescent="0.25">
      <c r="A1426" s="137"/>
      <c r="B1426" s="137"/>
      <c r="C1426" s="137"/>
      <c r="D1426" s="137"/>
      <c r="E1426" s="137"/>
      <c r="F1426" s="137"/>
      <c r="G1426" s="137"/>
      <c r="H1426" s="137"/>
      <c r="I1426" s="137"/>
      <c r="J1426" s="137"/>
      <c r="K1426" s="137"/>
      <c r="L1426" s="137"/>
      <c r="M1426" s="137"/>
      <c r="N1426" s="137"/>
      <c r="O1426" s="137"/>
      <c r="P1426" s="137"/>
      <c r="Q1426" s="137"/>
      <c r="R1426" s="137"/>
      <c r="S1426" s="137"/>
      <c r="T1426" s="137"/>
      <c r="U1426" s="137"/>
      <c r="V1426" s="137"/>
      <c r="W1426" s="137"/>
    </row>
    <row r="1427" spans="1:23" x14ac:dyDescent="0.25">
      <c r="A1427" s="137"/>
      <c r="B1427" s="137"/>
      <c r="C1427" s="137"/>
      <c r="D1427" s="137"/>
      <c r="E1427" s="137"/>
      <c r="F1427" s="137"/>
      <c r="G1427" s="137"/>
      <c r="H1427" s="137"/>
      <c r="I1427" s="137"/>
      <c r="J1427" s="137"/>
      <c r="K1427" s="137"/>
      <c r="L1427" s="137"/>
      <c r="M1427" s="137"/>
      <c r="N1427" s="137"/>
      <c r="O1427" s="137"/>
      <c r="P1427" s="137"/>
      <c r="Q1427" s="137"/>
      <c r="R1427" s="137"/>
      <c r="S1427" s="137"/>
      <c r="T1427" s="137"/>
      <c r="U1427" s="137"/>
      <c r="V1427" s="137"/>
      <c r="W1427" s="137"/>
    </row>
    <row r="1428" spans="1:23" x14ac:dyDescent="0.25">
      <c r="A1428" s="137"/>
      <c r="B1428" s="137"/>
      <c r="C1428" s="137"/>
      <c r="D1428" s="137"/>
      <c r="E1428" s="137"/>
      <c r="F1428" s="137"/>
      <c r="G1428" s="137"/>
      <c r="H1428" s="137"/>
      <c r="I1428" s="137"/>
      <c r="J1428" s="137"/>
      <c r="K1428" s="137"/>
      <c r="L1428" s="137"/>
      <c r="M1428" s="137"/>
      <c r="N1428" s="137"/>
      <c r="O1428" s="137"/>
      <c r="P1428" s="137"/>
      <c r="Q1428" s="137"/>
      <c r="R1428" s="137"/>
      <c r="S1428" s="137"/>
      <c r="T1428" s="137"/>
      <c r="U1428" s="137"/>
      <c r="V1428" s="137"/>
      <c r="W1428" s="137"/>
    </row>
    <row r="1429" spans="1:23" x14ac:dyDescent="0.25">
      <c r="A1429" s="137"/>
      <c r="B1429" s="137"/>
      <c r="C1429" s="137"/>
      <c r="D1429" s="137"/>
      <c r="E1429" s="137"/>
      <c r="F1429" s="137"/>
      <c r="G1429" s="137"/>
      <c r="H1429" s="137"/>
      <c r="I1429" s="137"/>
      <c r="J1429" s="137"/>
      <c r="K1429" s="137"/>
      <c r="L1429" s="137"/>
      <c r="M1429" s="137"/>
      <c r="N1429" s="137"/>
      <c r="O1429" s="137"/>
      <c r="P1429" s="137"/>
      <c r="Q1429" s="137"/>
      <c r="R1429" s="137"/>
      <c r="S1429" s="137"/>
      <c r="T1429" s="137"/>
      <c r="U1429" s="137"/>
      <c r="V1429" s="137"/>
      <c r="W1429" s="137"/>
    </row>
    <row r="1430" spans="1:23" x14ac:dyDescent="0.25">
      <c r="A1430" s="137"/>
      <c r="B1430" s="137"/>
      <c r="C1430" s="137"/>
      <c r="D1430" s="137"/>
      <c r="E1430" s="137"/>
      <c r="F1430" s="137"/>
      <c r="G1430" s="137"/>
      <c r="H1430" s="137"/>
      <c r="I1430" s="137"/>
      <c r="J1430" s="137"/>
      <c r="K1430" s="137"/>
      <c r="L1430" s="137"/>
      <c r="M1430" s="137"/>
      <c r="N1430" s="137"/>
      <c r="O1430" s="137"/>
      <c r="P1430" s="137"/>
      <c r="Q1430" s="137"/>
      <c r="R1430" s="137"/>
      <c r="S1430" s="137"/>
      <c r="T1430" s="137"/>
      <c r="U1430" s="137"/>
      <c r="V1430" s="137"/>
      <c r="W1430" s="137"/>
    </row>
    <row r="1431" spans="1:23" x14ac:dyDescent="0.25">
      <c r="A1431" s="137"/>
      <c r="B1431" s="137"/>
      <c r="C1431" s="137"/>
      <c r="D1431" s="137"/>
      <c r="E1431" s="137"/>
      <c r="F1431" s="137"/>
      <c r="G1431" s="137"/>
      <c r="H1431" s="137"/>
      <c r="I1431" s="137"/>
      <c r="J1431" s="137"/>
      <c r="K1431" s="137"/>
      <c r="L1431" s="137"/>
      <c r="M1431" s="137"/>
      <c r="N1431" s="137"/>
      <c r="O1431" s="137"/>
      <c r="P1431" s="137"/>
      <c r="Q1431" s="137"/>
      <c r="R1431" s="137"/>
      <c r="S1431" s="137"/>
      <c r="T1431" s="137"/>
      <c r="U1431" s="137"/>
      <c r="V1431" s="137"/>
      <c r="W1431" s="137"/>
    </row>
    <row r="1432" spans="1:23" x14ac:dyDescent="0.25">
      <c r="A1432" s="137"/>
      <c r="B1432" s="137"/>
      <c r="C1432" s="137"/>
      <c r="D1432" s="137"/>
      <c r="E1432" s="137"/>
      <c r="F1432" s="137"/>
      <c r="G1432" s="137"/>
      <c r="H1432" s="137"/>
      <c r="I1432" s="137"/>
      <c r="J1432" s="137"/>
      <c r="K1432" s="137"/>
      <c r="L1432" s="137"/>
      <c r="M1432" s="137"/>
      <c r="N1432" s="137"/>
      <c r="O1432" s="137"/>
      <c r="P1432" s="137"/>
      <c r="Q1432" s="137"/>
      <c r="R1432" s="137"/>
      <c r="S1432" s="137"/>
      <c r="T1432" s="137"/>
      <c r="U1432" s="137"/>
      <c r="V1432" s="137"/>
      <c r="W1432" s="137"/>
    </row>
    <row r="1433" spans="1:23" x14ac:dyDescent="0.25">
      <c r="A1433" s="137"/>
      <c r="B1433" s="137"/>
      <c r="C1433" s="137"/>
      <c r="D1433" s="137"/>
      <c r="E1433" s="137"/>
      <c r="F1433" s="137"/>
      <c r="G1433" s="137"/>
      <c r="H1433" s="137"/>
      <c r="I1433" s="137"/>
      <c r="J1433" s="137"/>
      <c r="K1433" s="137"/>
      <c r="L1433" s="137"/>
      <c r="M1433" s="137"/>
      <c r="N1433" s="137"/>
      <c r="O1433" s="137"/>
      <c r="P1433" s="137"/>
      <c r="Q1433" s="137"/>
      <c r="R1433" s="137"/>
      <c r="S1433" s="137"/>
      <c r="T1433" s="137"/>
      <c r="U1433" s="137"/>
      <c r="V1433" s="137"/>
      <c r="W1433" s="137"/>
    </row>
    <row r="1434" spans="1:23" x14ac:dyDescent="0.25">
      <c r="A1434" s="137"/>
      <c r="B1434" s="137"/>
      <c r="C1434" s="137"/>
      <c r="D1434" s="137"/>
      <c r="E1434" s="137"/>
      <c r="F1434" s="137"/>
      <c r="G1434" s="137"/>
      <c r="H1434" s="137"/>
      <c r="I1434" s="137"/>
      <c r="J1434" s="137"/>
      <c r="K1434" s="137"/>
      <c r="L1434" s="137"/>
      <c r="M1434" s="137"/>
      <c r="N1434" s="137"/>
      <c r="O1434" s="137"/>
      <c r="P1434" s="137"/>
      <c r="Q1434" s="137"/>
      <c r="R1434" s="137"/>
      <c r="S1434" s="137"/>
      <c r="T1434" s="137"/>
      <c r="U1434" s="137"/>
      <c r="V1434" s="137"/>
      <c r="W1434" s="137"/>
    </row>
    <row r="1435" spans="1:23" x14ac:dyDescent="0.25">
      <c r="A1435" s="137"/>
      <c r="B1435" s="137"/>
      <c r="C1435" s="137"/>
      <c r="D1435" s="137"/>
      <c r="E1435" s="137"/>
      <c r="F1435" s="137"/>
      <c r="G1435" s="137"/>
      <c r="H1435" s="137"/>
      <c r="I1435" s="137"/>
      <c r="J1435" s="137"/>
      <c r="K1435" s="137"/>
      <c r="L1435" s="137"/>
      <c r="M1435" s="137"/>
      <c r="N1435" s="137"/>
      <c r="O1435" s="137"/>
      <c r="P1435" s="137"/>
      <c r="Q1435" s="137"/>
      <c r="R1435" s="137"/>
      <c r="S1435" s="137"/>
      <c r="T1435" s="137"/>
      <c r="U1435" s="137"/>
      <c r="V1435" s="137"/>
      <c r="W1435" s="137"/>
    </row>
    <row r="1436" spans="1:23" x14ac:dyDescent="0.25">
      <c r="A1436" s="137"/>
      <c r="B1436" s="137"/>
      <c r="C1436" s="137"/>
      <c r="D1436" s="137"/>
      <c r="E1436" s="137"/>
      <c r="F1436" s="137"/>
      <c r="G1436" s="137"/>
      <c r="H1436" s="137"/>
      <c r="I1436" s="137"/>
      <c r="J1436" s="137"/>
      <c r="K1436" s="137"/>
      <c r="L1436" s="137"/>
      <c r="M1436" s="137"/>
      <c r="N1436" s="137"/>
      <c r="O1436" s="137"/>
      <c r="P1436" s="137"/>
      <c r="Q1436" s="137"/>
      <c r="R1436" s="137"/>
      <c r="S1436" s="137"/>
      <c r="T1436" s="137"/>
      <c r="U1436" s="137"/>
      <c r="V1436" s="137"/>
      <c r="W1436" s="137"/>
    </row>
    <row r="1437" spans="1:23" x14ac:dyDescent="0.25">
      <c r="A1437" s="137"/>
      <c r="B1437" s="137"/>
      <c r="C1437" s="137"/>
      <c r="D1437" s="137"/>
      <c r="E1437" s="137"/>
      <c r="F1437" s="137"/>
      <c r="G1437" s="137"/>
      <c r="H1437" s="137"/>
      <c r="I1437" s="137"/>
      <c r="J1437" s="137"/>
      <c r="K1437" s="137"/>
      <c r="L1437" s="137"/>
      <c r="M1437" s="137"/>
      <c r="N1437" s="137"/>
      <c r="O1437" s="137"/>
      <c r="P1437" s="137"/>
      <c r="Q1437" s="137"/>
      <c r="R1437" s="137"/>
      <c r="S1437" s="137"/>
      <c r="T1437" s="137"/>
      <c r="U1437" s="137"/>
      <c r="V1437" s="137"/>
      <c r="W1437" s="137"/>
    </row>
    <row r="1438" spans="1:23" x14ac:dyDescent="0.25">
      <c r="A1438" s="137"/>
      <c r="B1438" s="137"/>
      <c r="C1438" s="137"/>
      <c r="D1438" s="137"/>
      <c r="E1438" s="137"/>
      <c r="F1438" s="137"/>
      <c r="G1438" s="137"/>
      <c r="H1438" s="137"/>
      <c r="I1438" s="137"/>
      <c r="J1438" s="137"/>
      <c r="K1438" s="137"/>
      <c r="L1438" s="137"/>
      <c r="M1438" s="137"/>
      <c r="N1438" s="137"/>
      <c r="O1438" s="137"/>
      <c r="P1438" s="137"/>
      <c r="Q1438" s="137"/>
      <c r="R1438" s="137"/>
      <c r="S1438" s="137"/>
      <c r="T1438" s="137"/>
      <c r="U1438" s="137"/>
      <c r="V1438" s="137"/>
      <c r="W1438" s="137"/>
    </row>
    <row r="1439" spans="1:23" x14ac:dyDescent="0.25">
      <c r="A1439" s="137"/>
      <c r="B1439" s="137"/>
      <c r="C1439" s="137"/>
      <c r="D1439" s="137"/>
      <c r="E1439" s="137"/>
      <c r="F1439" s="137"/>
      <c r="G1439" s="137"/>
      <c r="H1439" s="137"/>
      <c r="I1439" s="137"/>
      <c r="J1439" s="137"/>
      <c r="K1439" s="137"/>
      <c r="L1439" s="137"/>
      <c r="M1439" s="137"/>
      <c r="N1439" s="137"/>
      <c r="O1439" s="137"/>
      <c r="P1439" s="137"/>
      <c r="Q1439" s="137"/>
      <c r="R1439" s="137"/>
      <c r="S1439" s="137"/>
      <c r="T1439" s="137"/>
      <c r="U1439" s="137"/>
      <c r="V1439" s="137"/>
      <c r="W1439" s="137"/>
    </row>
    <row r="1440" spans="1:23" x14ac:dyDescent="0.25">
      <c r="A1440" s="137"/>
      <c r="B1440" s="137"/>
      <c r="C1440" s="137"/>
      <c r="D1440" s="137"/>
      <c r="E1440" s="137"/>
      <c r="F1440" s="137"/>
      <c r="G1440" s="137"/>
      <c r="H1440" s="137"/>
      <c r="I1440" s="137"/>
      <c r="J1440" s="137"/>
      <c r="K1440" s="137"/>
      <c r="L1440" s="137"/>
      <c r="M1440" s="137"/>
      <c r="N1440" s="137"/>
      <c r="O1440" s="137"/>
      <c r="P1440" s="137"/>
      <c r="Q1440" s="137"/>
      <c r="R1440" s="137"/>
      <c r="S1440" s="137"/>
      <c r="T1440" s="137"/>
      <c r="U1440" s="137"/>
      <c r="V1440" s="137"/>
      <c r="W1440" s="137"/>
    </row>
    <row r="1441" spans="1:23" x14ac:dyDescent="0.25">
      <c r="A1441" s="137"/>
      <c r="B1441" s="137"/>
      <c r="C1441" s="137"/>
      <c r="D1441" s="137"/>
      <c r="E1441" s="137"/>
      <c r="F1441" s="137"/>
      <c r="G1441" s="137"/>
      <c r="H1441" s="137"/>
      <c r="I1441" s="137"/>
      <c r="J1441" s="137"/>
      <c r="K1441" s="137"/>
      <c r="L1441" s="137"/>
      <c r="M1441" s="137"/>
      <c r="N1441" s="137"/>
      <c r="O1441" s="137"/>
      <c r="P1441" s="137"/>
      <c r="Q1441" s="137"/>
      <c r="R1441" s="137"/>
      <c r="S1441" s="137"/>
      <c r="T1441" s="137"/>
      <c r="U1441" s="137"/>
      <c r="V1441" s="137"/>
      <c r="W1441" s="137"/>
    </row>
    <row r="1442" spans="1:23" x14ac:dyDescent="0.25">
      <c r="A1442" s="137"/>
      <c r="B1442" s="137"/>
      <c r="C1442" s="137"/>
      <c r="D1442" s="137"/>
      <c r="E1442" s="137"/>
      <c r="F1442" s="137"/>
      <c r="G1442" s="137"/>
      <c r="H1442" s="137"/>
      <c r="I1442" s="137"/>
      <c r="J1442" s="137"/>
      <c r="K1442" s="137"/>
      <c r="L1442" s="137"/>
      <c r="M1442" s="137"/>
      <c r="N1442" s="137"/>
      <c r="O1442" s="137"/>
      <c r="P1442" s="137"/>
      <c r="Q1442" s="137"/>
      <c r="R1442" s="137"/>
      <c r="S1442" s="137"/>
      <c r="T1442" s="137"/>
      <c r="U1442" s="137"/>
      <c r="V1442" s="137"/>
      <c r="W1442" s="137"/>
    </row>
    <row r="1443" spans="1:23" x14ac:dyDescent="0.25">
      <c r="A1443" s="137"/>
      <c r="B1443" s="137"/>
      <c r="C1443" s="137"/>
      <c r="D1443" s="137"/>
      <c r="E1443" s="137"/>
      <c r="F1443" s="137"/>
      <c r="G1443" s="137"/>
      <c r="H1443" s="137"/>
      <c r="I1443" s="137"/>
      <c r="J1443" s="137"/>
      <c r="K1443" s="137"/>
      <c r="L1443" s="137"/>
      <c r="M1443" s="137"/>
      <c r="N1443" s="137"/>
      <c r="O1443" s="137"/>
      <c r="P1443" s="137"/>
      <c r="Q1443" s="137"/>
      <c r="R1443" s="137"/>
      <c r="S1443" s="137"/>
      <c r="T1443" s="137"/>
      <c r="U1443" s="137"/>
      <c r="V1443" s="137"/>
      <c r="W1443" s="137"/>
    </row>
    <row r="1444" spans="1:23" x14ac:dyDescent="0.25">
      <c r="A1444" s="137"/>
      <c r="B1444" s="137"/>
      <c r="C1444" s="137"/>
      <c r="D1444" s="137"/>
      <c r="E1444" s="137"/>
      <c r="F1444" s="137"/>
      <c r="G1444" s="137"/>
      <c r="H1444" s="137"/>
      <c r="I1444" s="137"/>
      <c r="J1444" s="137"/>
      <c r="K1444" s="137"/>
      <c r="L1444" s="137"/>
      <c r="M1444" s="137"/>
      <c r="N1444" s="137"/>
      <c r="O1444" s="137"/>
      <c r="P1444" s="137"/>
      <c r="Q1444" s="137"/>
      <c r="R1444" s="137"/>
      <c r="S1444" s="137"/>
      <c r="T1444" s="137"/>
      <c r="U1444" s="137"/>
      <c r="V1444" s="137"/>
      <c r="W1444" s="137"/>
    </row>
    <row r="1445" spans="1:23" x14ac:dyDescent="0.25">
      <c r="A1445" s="137"/>
      <c r="B1445" s="137"/>
      <c r="C1445" s="137"/>
      <c r="D1445" s="137"/>
      <c r="E1445" s="137"/>
      <c r="F1445" s="137"/>
      <c r="G1445" s="137"/>
      <c r="H1445" s="137"/>
      <c r="I1445" s="137"/>
      <c r="J1445" s="137"/>
      <c r="K1445" s="137"/>
      <c r="L1445" s="137"/>
      <c r="M1445" s="137"/>
      <c r="N1445" s="137"/>
      <c r="O1445" s="137"/>
      <c r="P1445" s="137"/>
      <c r="Q1445" s="137"/>
      <c r="R1445" s="137"/>
      <c r="S1445" s="137"/>
      <c r="T1445" s="137"/>
      <c r="U1445" s="137"/>
      <c r="V1445" s="137"/>
      <c r="W1445" s="137"/>
    </row>
    <row r="1446" spans="1:23" x14ac:dyDescent="0.25">
      <c r="A1446" s="137"/>
      <c r="B1446" s="137"/>
      <c r="C1446" s="137"/>
      <c r="D1446" s="137"/>
      <c r="E1446" s="137"/>
      <c r="F1446" s="137"/>
      <c r="G1446" s="137"/>
      <c r="H1446" s="137"/>
      <c r="I1446" s="137"/>
      <c r="J1446" s="137"/>
      <c r="K1446" s="137"/>
      <c r="L1446" s="137"/>
      <c r="M1446" s="137"/>
      <c r="N1446" s="137"/>
      <c r="O1446" s="137"/>
      <c r="P1446" s="137"/>
      <c r="Q1446" s="137"/>
      <c r="R1446" s="137"/>
      <c r="S1446" s="137"/>
      <c r="T1446" s="137"/>
      <c r="U1446" s="137"/>
      <c r="V1446" s="137"/>
      <c r="W1446" s="137"/>
    </row>
    <row r="1447" spans="1:23" x14ac:dyDescent="0.25">
      <c r="A1447" s="137"/>
      <c r="B1447" s="137"/>
      <c r="C1447" s="137"/>
      <c r="D1447" s="137"/>
      <c r="E1447" s="137"/>
      <c r="F1447" s="137"/>
      <c r="G1447" s="137"/>
      <c r="H1447" s="137"/>
      <c r="I1447" s="137"/>
      <c r="J1447" s="137"/>
      <c r="K1447" s="137"/>
      <c r="L1447" s="137"/>
      <c r="M1447" s="137"/>
      <c r="N1447" s="137"/>
      <c r="O1447" s="137"/>
      <c r="P1447" s="137"/>
      <c r="Q1447" s="137"/>
      <c r="R1447" s="137"/>
      <c r="S1447" s="137"/>
      <c r="T1447" s="137"/>
      <c r="U1447" s="137"/>
      <c r="V1447" s="137"/>
      <c r="W1447" s="137"/>
    </row>
    <row r="1448" spans="1:23" x14ac:dyDescent="0.25">
      <c r="A1448" s="137"/>
      <c r="B1448" s="137"/>
      <c r="C1448" s="137"/>
      <c r="D1448" s="137"/>
      <c r="E1448" s="137"/>
      <c r="F1448" s="137"/>
      <c r="G1448" s="137"/>
      <c r="H1448" s="137"/>
      <c r="I1448" s="137"/>
      <c r="J1448" s="137"/>
      <c r="K1448" s="137"/>
      <c r="L1448" s="137"/>
      <c r="M1448" s="137"/>
      <c r="N1448" s="137"/>
      <c r="O1448" s="137"/>
      <c r="P1448" s="137"/>
      <c r="Q1448" s="137"/>
      <c r="R1448" s="137"/>
      <c r="S1448" s="137"/>
      <c r="T1448" s="137"/>
      <c r="U1448" s="137"/>
      <c r="V1448" s="137"/>
      <c r="W1448" s="137"/>
    </row>
    <row r="1449" spans="1:23" x14ac:dyDescent="0.25">
      <c r="A1449" s="137"/>
      <c r="B1449" s="137"/>
      <c r="C1449" s="137"/>
      <c r="D1449" s="137"/>
      <c r="E1449" s="137"/>
      <c r="F1449" s="137"/>
      <c r="G1449" s="137"/>
      <c r="H1449" s="137"/>
      <c r="I1449" s="137"/>
      <c r="J1449" s="137"/>
      <c r="K1449" s="137"/>
      <c r="L1449" s="137"/>
      <c r="M1449" s="137"/>
      <c r="N1449" s="137"/>
      <c r="O1449" s="137"/>
      <c r="P1449" s="137"/>
      <c r="Q1449" s="137"/>
      <c r="R1449" s="137"/>
      <c r="S1449" s="137"/>
      <c r="T1449" s="137"/>
      <c r="U1449" s="137"/>
      <c r="V1449" s="137"/>
      <c r="W1449" s="137"/>
    </row>
    <row r="1450" spans="1:23" x14ac:dyDescent="0.25">
      <c r="A1450" s="137"/>
      <c r="B1450" s="137"/>
      <c r="C1450" s="137"/>
      <c r="D1450" s="137"/>
      <c r="E1450" s="137"/>
      <c r="F1450" s="137"/>
      <c r="G1450" s="137"/>
      <c r="H1450" s="137"/>
      <c r="I1450" s="137"/>
      <c r="J1450" s="137"/>
      <c r="K1450" s="137"/>
      <c r="L1450" s="137"/>
      <c r="M1450" s="137"/>
      <c r="N1450" s="137"/>
      <c r="O1450" s="137"/>
      <c r="P1450" s="137"/>
      <c r="Q1450" s="137"/>
      <c r="R1450" s="137"/>
      <c r="S1450" s="137"/>
      <c r="T1450" s="137"/>
      <c r="U1450" s="137"/>
      <c r="V1450" s="137"/>
      <c r="W1450" s="137"/>
    </row>
    <row r="1451" spans="1:23" x14ac:dyDescent="0.25">
      <c r="A1451" s="137"/>
      <c r="B1451" s="137"/>
      <c r="C1451" s="137"/>
      <c r="D1451" s="137"/>
      <c r="E1451" s="137"/>
      <c r="F1451" s="137"/>
      <c r="G1451" s="137"/>
      <c r="H1451" s="137"/>
      <c r="I1451" s="137"/>
      <c r="J1451" s="137"/>
      <c r="K1451" s="137"/>
      <c r="L1451" s="137"/>
      <c r="M1451" s="137"/>
      <c r="N1451" s="137"/>
      <c r="O1451" s="137"/>
      <c r="P1451" s="137"/>
      <c r="Q1451" s="137"/>
      <c r="R1451" s="137"/>
      <c r="S1451" s="137"/>
      <c r="T1451" s="137"/>
      <c r="U1451" s="137"/>
      <c r="V1451" s="137"/>
      <c r="W1451" s="137"/>
    </row>
    <row r="1452" spans="1:23" x14ac:dyDescent="0.25">
      <c r="A1452" s="137"/>
      <c r="B1452" s="137"/>
      <c r="C1452" s="137"/>
      <c r="D1452" s="137"/>
      <c r="E1452" s="137"/>
      <c r="F1452" s="137"/>
      <c r="G1452" s="137"/>
      <c r="H1452" s="137"/>
      <c r="I1452" s="137"/>
      <c r="J1452" s="137"/>
      <c r="K1452" s="137"/>
      <c r="L1452" s="137"/>
      <c r="M1452" s="137"/>
      <c r="N1452" s="137"/>
      <c r="O1452" s="137"/>
      <c r="P1452" s="137"/>
      <c r="Q1452" s="137"/>
      <c r="R1452" s="137"/>
      <c r="S1452" s="137"/>
      <c r="T1452" s="137"/>
      <c r="U1452" s="137"/>
      <c r="V1452" s="137"/>
      <c r="W1452" s="137"/>
    </row>
    <row r="1453" spans="1:23" x14ac:dyDescent="0.25">
      <c r="A1453" s="137"/>
      <c r="B1453" s="137"/>
      <c r="C1453" s="137"/>
      <c r="D1453" s="137"/>
      <c r="E1453" s="137"/>
      <c r="F1453" s="137"/>
      <c r="G1453" s="137"/>
      <c r="H1453" s="137"/>
      <c r="I1453" s="137"/>
      <c r="J1453" s="137"/>
      <c r="K1453" s="137"/>
      <c r="L1453" s="137"/>
      <c r="M1453" s="137"/>
      <c r="N1453" s="137"/>
      <c r="O1453" s="137"/>
      <c r="P1453" s="137"/>
      <c r="Q1453" s="137"/>
      <c r="R1453" s="137"/>
      <c r="S1453" s="137"/>
      <c r="T1453" s="137"/>
      <c r="U1453" s="137"/>
      <c r="V1453" s="137"/>
      <c r="W1453" s="137"/>
    </row>
    <row r="1454" spans="1:23" x14ac:dyDescent="0.25">
      <c r="A1454" s="137"/>
      <c r="B1454" s="137"/>
      <c r="C1454" s="137"/>
      <c r="D1454" s="137"/>
      <c r="E1454" s="137"/>
      <c r="F1454" s="137"/>
      <c r="G1454" s="137"/>
      <c r="H1454" s="137"/>
      <c r="I1454" s="137"/>
      <c r="J1454" s="137"/>
      <c r="K1454" s="137"/>
      <c r="L1454" s="137"/>
      <c r="M1454" s="137"/>
      <c r="N1454" s="137"/>
      <c r="O1454" s="137"/>
      <c r="P1454" s="137"/>
      <c r="Q1454" s="137"/>
      <c r="R1454" s="137"/>
      <c r="S1454" s="137"/>
      <c r="T1454" s="137"/>
      <c r="U1454" s="137"/>
      <c r="V1454" s="137"/>
      <c r="W1454" s="137"/>
    </row>
    <row r="1455" spans="1:23" x14ac:dyDescent="0.25">
      <c r="A1455" s="137"/>
      <c r="B1455" s="137"/>
      <c r="C1455" s="137"/>
      <c r="D1455" s="137"/>
      <c r="E1455" s="137"/>
      <c r="F1455" s="137"/>
      <c r="G1455" s="137"/>
      <c r="H1455" s="137"/>
      <c r="I1455" s="137"/>
      <c r="J1455" s="137"/>
      <c r="K1455" s="137"/>
      <c r="L1455" s="137"/>
      <c r="M1455" s="137"/>
      <c r="N1455" s="137"/>
      <c r="O1455" s="137"/>
      <c r="P1455" s="137"/>
      <c r="Q1455" s="137"/>
      <c r="R1455" s="137"/>
      <c r="S1455" s="137"/>
      <c r="T1455" s="137"/>
      <c r="U1455" s="137"/>
      <c r="V1455" s="137"/>
      <c r="W1455" s="137"/>
    </row>
    <row r="1456" spans="1:23" x14ac:dyDescent="0.25">
      <c r="A1456" s="137"/>
      <c r="B1456" s="137"/>
      <c r="C1456" s="137"/>
      <c r="D1456" s="137"/>
      <c r="E1456" s="137"/>
      <c r="F1456" s="137"/>
      <c r="G1456" s="137"/>
      <c r="H1456" s="137"/>
      <c r="I1456" s="137"/>
      <c r="J1456" s="137"/>
      <c r="K1456" s="137"/>
      <c r="L1456" s="137"/>
      <c r="M1456" s="137"/>
      <c r="N1456" s="137"/>
      <c r="O1456" s="137"/>
      <c r="P1456" s="137"/>
      <c r="Q1456" s="137"/>
      <c r="R1456" s="137"/>
      <c r="S1456" s="137"/>
      <c r="T1456" s="137"/>
      <c r="U1456" s="137"/>
      <c r="V1456" s="137"/>
      <c r="W1456" s="137"/>
    </row>
    <row r="1457" spans="1:23" x14ac:dyDescent="0.25">
      <c r="A1457" s="137"/>
      <c r="B1457" s="137"/>
      <c r="C1457" s="137"/>
      <c r="D1457" s="137"/>
      <c r="E1457" s="137"/>
      <c r="F1457" s="137"/>
      <c r="G1457" s="137"/>
      <c r="H1457" s="137"/>
      <c r="I1457" s="137"/>
      <c r="J1457" s="137"/>
      <c r="K1457" s="137"/>
      <c r="L1457" s="137"/>
      <c r="M1457" s="137"/>
      <c r="N1457" s="137"/>
      <c r="O1457" s="137"/>
      <c r="P1457" s="137"/>
      <c r="Q1457" s="137"/>
      <c r="R1457" s="137"/>
      <c r="S1457" s="137"/>
      <c r="T1457" s="137"/>
      <c r="U1457" s="137"/>
      <c r="V1457" s="137"/>
      <c r="W1457" s="137"/>
    </row>
    <row r="1458" spans="1:23" x14ac:dyDescent="0.25">
      <c r="A1458" s="137"/>
      <c r="B1458" s="137"/>
      <c r="C1458" s="137"/>
      <c r="D1458" s="137"/>
      <c r="E1458" s="137"/>
      <c r="F1458" s="137"/>
      <c r="G1458" s="137"/>
      <c r="H1458" s="137"/>
      <c r="I1458" s="137"/>
      <c r="J1458" s="137"/>
      <c r="K1458" s="137"/>
      <c r="L1458" s="137"/>
      <c r="M1458" s="137"/>
      <c r="N1458" s="137"/>
      <c r="O1458" s="137"/>
      <c r="P1458" s="137"/>
      <c r="Q1458" s="137"/>
      <c r="R1458" s="137"/>
      <c r="S1458" s="137"/>
      <c r="T1458" s="137"/>
      <c r="U1458" s="137"/>
      <c r="V1458" s="137"/>
      <c r="W1458" s="137"/>
    </row>
    <row r="1459" spans="1:23" x14ac:dyDescent="0.25">
      <c r="A1459" s="137"/>
      <c r="B1459" s="137"/>
      <c r="C1459" s="137"/>
      <c r="D1459" s="137"/>
      <c r="E1459" s="137"/>
      <c r="F1459" s="137"/>
      <c r="G1459" s="137"/>
      <c r="H1459" s="137"/>
      <c r="I1459" s="137"/>
      <c r="J1459" s="137"/>
      <c r="K1459" s="137"/>
      <c r="L1459" s="137"/>
      <c r="M1459" s="137"/>
      <c r="N1459" s="137"/>
      <c r="O1459" s="137"/>
      <c r="P1459" s="137"/>
      <c r="Q1459" s="137"/>
      <c r="R1459" s="137"/>
      <c r="S1459" s="137"/>
      <c r="T1459" s="137"/>
      <c r="U1459" s="137"/>
      <c r="V1459" s="137"/>
      <c r="W1459" s="137"/>
    </row>
    <row r="1460" spans="1:23" x14ac:dyDescent="0.25">
      <c r="A1460" s="137"/>
      <c r="B1460" s="137"/>
      <c r="C1460" s="137"/>
      <c r="D1460" s="137"/>
      <c r="E1460" s="137"/>
      <c r="F1460" s="137"/>
      <c r="G1460" s="137"/>
      <c r="H1460" s="137"/>
      <c r="I1460" s="137"/>
      <c r="J1460" s="137"/>
      <c r="K1460" s="137"/>
      <c r="L1460" s="137"/>
      <c r="M1460" s="137"/>
      <c r="N1460" s="137"/>
      <c r="O1460" s="137"/>
      <c r="P1460" s="137"/>
      <c r="Q1460" s="137"/>
      <c r="R1460" s="137"/>
      <c r="S1460" s="137"/>
      <c r="T1460" s="137"/>
      <c r="U1460" s="137"/>
      <c r="V1460" s="137"/>
      <c r="W1460" s="137"/>
    </row>
    <row r="1461" spans="1:23" x14ac:dyDescent="0.25">
      <c r="A1461" s="137"/>
      <c r="B1461" s="137"/>
      <c r="C1461" s="137"/>
      <c r="D1461" s="137"/>
      <c r="E1461" s="137"/>
      <c r="F1461" s="137"/>
      <c r="G1461" s="137"/>
      <c r="H1461" s="137"/>
      <c r="I1461" s="137"/>
      <c r="J1461" s="137"/>
      <c r="K1461" s="137"/>
      <c r="L1461" s="137"/>
      <c r="M1461" s="137"/>
      <c r="N1461" s="137"/>
      <c r="O1461" s="137"/>
      <c r="P1461" s="137"/>
      <c r="Q1461" s="137"/>
      <c r="R1461" s="137"/>
      <c r="S1461" s="137"/>
      <c r="T1461" s="137"/>
      <c r="U1461" s="137"/>
      <c r="V1461" s="137"/>
      <c r="W1461" s="137"/>
    </row>
    <row r="1462" spans="1:23" x14ac:dyDescent="0.25">
      <c r="A1462" s="137"/>
      <c r="B1462" s="137"/>
      <c r="C1462" s="137"/>
      <c r="D1462" s="137"/>
      <c r="E1462" s="137"/>
      <c r="F1462" s="137"/>
      <c r="G1462" s="137"/>
      <c r="H1462" s="137"/>
      <c r="I1462" s="137"/>
      <c r="J1462" s="137"/>
      <c r="K1462" s="137"/>
      <c r="L1462" s="137"/>
      <c r="M1462" s="137"/>
      <c r="N1462" s="137"/>
      <c r="O1462" s="137"/>
      <c r="P1462" s="137"/>
      <c r="Q1462" s="137"/>
      <c r="R1462" s="137"/>
      <c r="S1462" s="137"/>
      <c r="T1462" s="137"/>
      <c r="U1462" s="137"/>
      <c r="V1462" s="137"/>
      <c r="W1462" s="137"/>
    </row>
    <row r="1463" spans="1:23" x14ac:dyDescent="0.25">
      <c r="A1463" s="137"/>
      <c r="B1463" s="137"/>
      <c r="C1463" s="137"/>
      <c r="D1463" s="137"/>
      <c r="E1463" s="137"/>
      <c r="F1463" s="137"/>
      <c r="G1463" s="137"/>
      <c r="H1463" s="137"/>
      <c r="I1463" s="137"/>
      <c r="J1463" s="137"/>
      <c r="K1463" s="137"/>
      <c r="L1463" s="137"/>
      <c r="M1463" s="137"/>
      <c r="N1463" s="137"/>
      <c r="O1463" s="137"/>
      <c r="P1463" s="137"/>
      <c r="Q1463" s="137"/>
      <c r="R1463" s="137"/>
      <c r="S1463" s="137"/>
      <c r="T1463" s="137"/>
      <c r="U1463" s="137"/>
      <c r="V1463" s="137"/>
      <c r="W1463" s="137"/>
    </row>
    <row r="1464" spans="1:23" x14ac:dyDescent="0.25">
      <c r="A1464" s="137"/>
      <c r="B1464" s="137"/>
      <c r="C1464" s="137"/>
      <c r="D1464" s="137"/>
      <c r="E1464" s="137"/>
      <c r="F1464" s="137"/>
      <c r="G1464" s="137"/>
      <c r="H1464" s="137"/>
      <c r="I1464" s="137"/>
      <c r="J1464" s="137"/>
      <c r="K1464" s="137"/>
      <c r="L1464" s="137"/>
      <c r="M1464" s="137"/>
      <c r="N1464" s="137"/>
      <c r="O1464" s="137"/>
      <c r="P1464" s="137"/>
      <c r="Q1464" s="137"/>
      <c r="R1464" s="137"/>
      <c r="S1464" s="137"/>
      <c r="T1464" s="137"/>
      <c r="U1464" s="137"/>
      <c r="V1464" s="137"/>
      <c r="W1464" s="137"/>
    </row>
    <row r="1465" spans="1:23" x14ac:dyDescent="0.25">
      <c r="A1465" s="137"/>
      <c r="B1465" s="137"/>
      <c r="C1465" s="137"/>
      <c r="D1465" s="137"/>
      <c r="E1465" s="137"/>
      <c r="F1465" s="137"/>
      <c r="G1465" s="137"/>
      <c r="H1465" s="137"/>
      <c r="I1465" s="137"/>
      <c r="J1465" s="137"/>
      <c r="K1465" s="137"/>
      <c r="L1465" s="137"/>
      <c r="M1465" s="137"/>
      <c r="N1465" s="137"/>
      <c r="O1465" s="137"/>
      <c r="P1465" s="137"/>
      <c r="Q1465" s="137"/>
      <c r="R1465" s="137"/>
      <c r="S1465" s="137"/>
      <c r="T1465" s="137"/>
      <c r="U1465" s="137"/>
      <c r="V1465" s="137"/>
      <c r="W1465" s="137"/>
    </row>
    <row r="1466" spans="1:23" x14ac:dyDescent="0.25">
      <c r="A1466" s="137"/>
      <c r="B1466" s="137"/>
      <c r="C1466" s="137"/>
      <c r="D1466" s="137"/>
      <c r="E1466" s="137"/>
      <c r="F1466" s="137"/>
      <c r="G1466" s="137"/>
      <c r="H1466" s="137"/>
      <c r="I1466" s="137"/>
      <c r="J1466" s="137"/>
      <c r="K1466" s="137"/>
      <c r="L1466" s="137"/>
      <c r="M1466" s="137"/>
      <c r="N1466" s="137"/>
      <c r="O1466" s="137"/>
      <c r="P1466" s="137"/>
      <c r="Q1466" s="137"/>
      <c r="R1466" s="137"/>
      <c r="S1466" s="137"/>
      <c r="T1466" s="137"/>
      <c r="U1466" s="137"/>
      <c r="V1466" s="137"/>
      <c r="W1466" s="137"/>
    </row>
    <row r="1467" spans="1:23" x14ac:dyDescent="0.25">
      <c r="A1467" s="137"/>
      <c r="B1467" s="137"/>
      <c r="C1467" s="137"/>
      <c r="D1467" s="137"/>
      <c r="E1467" s="137"/>
      <c r="F1467" s="137"/>
      <c r="G1467" s="137"/>
      <c r="H1467" s="137"/>
      <c r="I1467" s="137"/>
      <c r="J1467" s="137"/>
      <c r="K1467" s="137"/>
      <c r="L1467" s="137"/>
      <c r="M1467" s="137"/>
      <c r="N1467" s="137"/>
      <c r="O1467" s="137"/>
      <c r="P1467" s="137"/>
      <c r="Q1467" s="137"/>
      <c r="R1467" s="137"/>
      <c r="S1467" s="137"/>
      <c r="T1467" s="137"/>
      <c r="U1467" s="137"/>
      <c r="V1467" s="137"/>
      <c r="W1467" s="137"/>
    </row>
    <row r="1468" spans="1:23" x14ac:dyDescent="0.25">
      <c r="A1468" s="137"/>
      <c r="B1468" s="137"/>
      <c r="C1468" s="137"/>
      <c r="D1468" s="137"/>
      <c r="E1468" s="137"/>
      <c r="F1468" s="137"/>
      <c r="G1468" s="137"/>
      <c r="H1468" s="137"/>
      <c r="I1468" s="137"/>
      <c r="J1468" s="137"/>
      <c r="K1468" s="137"/>
      <c r="L1468" s="137"/>
      <c r="M1468" s="137"/>
      <c r="N1468" s="137"/>
      <c r="O1468" s="137"/>
      <c r="P1468" s="137"/>
      <c r="Q1468" s="137"/>
      <c r="R1468" s="137"/>
      <c r="S1468" s="137"/>
      <c r="T1468" s="137"/>
      <c r="U1468" s="137"/>
      <c r="V1468" s="137"/>
      <c r="W1468" s="137"/>
    </row>
    <row r="1469" spans="1:23" x14ac:dyDescent="0.25">
      <c r="A1469" s="137"/>
      <c r="B1469" s="137"/>
      <c r="C1469" s="137"/>
      <c r="D1469" s="137"/>
      <c r="E1469" s="137"/>
      <c r="F1469" s="137"/>
      <c r="G1469" s="137"/>
      <c r="H1469" s="137"/>
      <c r="I1469" s="137"/>
      <c r="J1469" s="137"/>
      <c r="K1469" s="137"/>
      <c r="L1469" s="137"/>
      <c r="M1469" s="137"/>
      <c r="N1469" s="137"/>
      <c r="O1469" s="137"/>
      <c r="P1469" s="137"/>
      <c r="Q1469" s="137"/>
      <c r="R1469" s="137"/>
      <c r="S1469" s="137"/>
      <c r="T1469" s="137"/>
      <c r="U1469" s="137"/>
      <c r="V1469" s="137"/>
      <c r="W1469" s="137"/>
    </row>
    <row r="1470" spans="1:23" x14ac:dyDescent="0.25">
      <c r="A1470" s="137"/>
      <c r="B1470" s="137"/>
      <c r="C1470" s="137"/>
      <c r="D1470" s="137"/>
      <c r="E1470" s="137"/>
      <c r="F1470" s="137"/>
      <c r="G1470" s="137"/>
      <c r="H1470" s="137"/>
      <c r="I1470" s="137"/>
      <c r="J1470" s="137"/>
      <c r="K1470" s="137"/>
      <c r="L1470" s="137"/>
      <c r="M1470" s="137"/>
      <c r="N1470" s="137"/>
      <c r="O1470" s="137"/>
      <c r="P1470" s="137"/>
      <c r="Q1470" s="137"/>
      <c r="R1470" s="137"/>
      <c r="S1470" s="137"/>
      <c r="T1470" s="137"/>
      <c r="U1470" s="137"/>
      <c r="V1470" s="137"/>
      <c r="W1470" s="137"/>
    </row>
    <row r="1471" spans="1:23" x14ac:dyDescent="0.25">
      <c r="A1471" s="137"/>
      <c r="B1471" s="137"/>
      <c r="C1471" s="137"/>
      <c r="D1471" s="137"/>
      <c r="E1471" s="137"/>
      <c r="F1471" s="137"/>
      <c r="G1471" s="137"/>
      <c r="H1471" s="137"/>
      <c r="I1471" s="137"/>
      <c r="J1471" s="137"/>
      <c r="K1471" s="137"/>
      <c r="L1471" s="137"/>
      <c r="M1471" s="137"/>
      <c r="N1471" s="137"/>
      <c r="O1471" s="137"/>
      <c r="P1471" s="137"/>
      <c r="Q1471" s="137"/>
      <c r="R1471" s="137"/>
      <c r="S1471" s="137"/>
      <c r="T1471" s="137"/>
      <c r="U1471" s="137"/>
      <c r="V1471" s="137"/>
      <c r="W1471" s="137"/>
    </row>
    <row r="1472" spans="1:23" x14ac:dyDescent="0.25">
      <c r="A1472" s="137"/>
      <c r="B1472" s="137"/>
      <c r="C1472" s="137"/>
      <c r="D1472" s="137"/>
      <c r="E1472" s="137"/>
      <c r="F1472" s="137"/>
      <c r="G1472" s="137"/>
      <c r="H1472" s="137"/>
      <c r="I1472" s="137"/>
      <c r="J1472" s="137"/>
      <c r="K1472" s="137"/>
      <c r="L1472" s="137"/>
      <c r="M1472" s="137"/>
      <c r="N1472" s="137"/>
      <c r="O1472" s="137"/>
      <c r="P1472" s="137"/>
      <c r="Q1472" s="137"/>
      <c r="R1472" s="137"/>
      <c r="S1472" s="137"/>
      <c r="T1472" s="137"/>
      <c r="U1472" s="137"/>
      <c r="V1472" s="137"/>
      <c r="W1472" s="137"/>
    </row>
    <row r="1473" spans="1:23" x14ac:dyDescent="0.25">
      <c r="A1473" s="137"/>
      <c r="B1473" s="137"/>
      <c r="C1473" s="137"/>
      <c r="D1473" s="137"/>
      <c r="E1473" s="137"/>
      <c r="F1473" s="137"/>
      <c r="G1473" s="137"/>
      <c r="H1473" s="137"/>
      <c r="I1473" s="137"/>
      <c r="J1473" s="137"/>
      <c r="K1473" s="137"/>
      <c r="L1473" s="137"/>
      <c r="M1473" s="137"/>
      <c r="N1473" s="137"/>
      <c r="O1473" s="137"/>
      <c r="P1473" s="137"/>
      <c r="Q1473" s="137"/>
      <c r="R1473" s="137"/>
      <c r="S1473" s="137"/>
      <c r="T1473" s="137"/>
      <c r="U1473" s="137"/>
      <c r="V1473" s="137"/>
      <c r="W1473" s="137"/>
    </row>
    <row r="1474" spans="1:23" x14ac:dyDescent="0.25">
      <c r="A1474" s="137"/>
      <c r="B1474" s="137"/>
      <c r="C1474" s="137"/>
      <c r="D1474" s="137"/>
      <c r="E1474" s="137"/>
      <c r="F1474" s="137"/>
      <c r="G1474" s="137"/>
      <c r="H1474" s="137"/>
      <c r="I1474" s="137"/>
      <c r="J1474" s="137"/>
      <c r="K1474" s="137"/>
      <c r="L1474" s="137"/>
      <c r="M1474" s="137"/>
      <c r="N1474" s="137"/>
      <c r="O1474" s="137"/>
      <c r="P1474" s="137"/>
      <c r="Q1474" s="137"/>
      <c r="R1474" s="137"/>
      <c r="S1474" s="137"/>
      <c r="T1474" s="137"/>
      <c r="U1474" s="137"/>
      <c r="V1474" s="137"/>
      <c r="W1474" s="137"/>
    </row>
    <row r="1475" spans="1:23" x14ac:dyDescent="0.25">
      <c r="A1475" s="137"/>
      <c r="B1475" s="137"/>
      <c r="C1475" s="137"/>
      <c r="D1475" s="137"/>
      <c r="E1475" s="137"/>
      <c r="F1475" s="137"/>
      <c r="G1475" s="137"/>
      <c r="H1475" s="137"/>
      <c r="I1475" s="137"/>
      <c r="J1475" s="137"/>
      <c r="K1475" s="137"/>
      <c r="L1475" s="137"/>
      <c r="M1475" s="137"/>
      <c r="N1475" s="137"/>
      <c r="O1475" s="137"/>
      <c r="P1475" s="137"/>
      <c r="Q1475" s="137"/>
      <c r="R1475" s="137"/>
      <c r="S1475" s="137"/>
      <c r="T1475" s="137"/>
      <c r="U1475" s="137"/>
      <c r="V1475" s="137"/>
      <c r="W1475" s="137"/>
    </row>
    <row r="1476" spans="1:23" x14ac:dyDescent="0.25">
      <c r="A1476" s="137"/>
      <c r="B1476" s="137"/>
      <c r="C1476" s="137"/>
      <c r="D1476" s="137"/>
      <c r="E1476" s="137"/>
      <c r="F1476" s="137"/>
      <c r="G1476" s="137"/>
      <c r="H1476" s="137"/>
      <c r="I1476" s="137"/>
      <c r="J1476" s="137"/>
      <c r="K1476" s="137"/>
      <c r="L1476" s="137"/>
      <c r="M1476" s="137"/>
      <c r="N1476" s="137"/>
      <c r="O1476" s="137"/>
      <c r="P1476" s="137"/>
      <c r="Q1476" s="137"/>
      <c r="R1476" s="137"/>
      <c r="S1476" s="137"/>
      <c r="T1476" s="137"/>
      <c r="U1476" s="137"/>
      <c r="V1476" s="137"/>
      <c r="W1476" s="137"/>
    </row>
    <row r="1477" spans="1:23" x14ac:dyDescent="0.25">
      <c r="A1477" s="137"/>
      <c r="B1477" s="137"/>
      <c r="C1477" s="137"/>
      <c r="D1477" s="137"/>
      <c r="E1477" s="137"/>
      <c r="F1477" s="137"/>
      <c r="G1477" s="137"/>
      <c r="H1477" s="137"/>
      <c r="I1477" s="137"/>
      <c r="J1477" s="137"/>
      <c r="K1477" s="137"/>
      <c r="L1477" s="137"/>
      <c r="M1477" s="137"/>
      <c r="N1477" s="137"/>
      <c r="O1477" s="137"/>
      <c r="P1477" s="137"/>
      <c r="Q1477" s="137"/>
      <c r="R1477" s="137"/>
      <c r="S1477" s="137"/>
      <c r="T1477" s="137"/>
      <c r="U1477" s="137"/>
      <c r="V1477" s="137"/>
      <c r="W1477" s="137"/>
    </row>
    <row r="1478" spans="1:23" x14ac:dyDescent="0.25">
      <c r="A1478" s="137"/>
      <c r="B1478" s="137"/>
      <c r="C1478" s="137"/>
      <c r="D1478" s="137"/>
      <c r="E1478" s="137"/>
      <c r="F1478" s="137"/>
      <c r="G1478" s="137"/>
      <c r="H1478" s="137"/>
      <c r="I1478" s="137"/>
      <c r="J1478" s="137"/>
      <c r="K1478" s="137"/>
      <c r="L1478" s="137"/>
      <c r="M1478" s="137"/>
      <c r="N1478" s="137"/>
      <c r="O1478" s="137"/>
      <c r="P1478" s="137"/>
      <c r="Q1478" s="137"/>
      <c r="R1478" s="137"/>
      <c r="S1478" s="137"/>
      <c r="T1478" s="137"/>
      <c r="U1478" s="137"/>
      <c r="V1478" s="137"/>
      <c r="W1478" s="137"/>
    </row>
    <row r="1479" spans="1:23" x14ac:dyDescent="0.25">
      <c r="A1479" s="137"/>
      <c r="B1479" s="137"/>
      <c r="C1479" s="137"/>
      <c r="D1479" s="137"/>
      <c r="E1479" s="137"/>
      <c r="F1479" s="137"/>
      <c r="G1479" s="137"/>
      <c r="H1479" s="137"/>
      <c r="I1479" s="137"/>
      <c r="J1479" s="137"/>
      <c r="K1479" s="137"/>
      <c r="L1479" s="137"/>
      <c r="M1479" s="137"/>
      <c r="N1479" s="137"/>
      <c r="O1479" s="137"/>
      <c r="P1479" s="137"/>
      <c r="Q1479" s="137"/>
      <c r="R1479" s="137"/>
      <c r="S1479" s="137"/>
      <c r="T1479" s="137"/>
      <c r="U1479" s="137"/>
      <c r="V1479" s="137"/>
      <c r="W1479" s="137"/>
    </row>
    <row r="1480" spans="1:23" x14ac:dyDescent="0.25">
      <c r="A1480" s="137"/>
      <c r="B1480" s="137"/>
      <c r="C1480" s="137"/>
      <c r="D1480" s="137"/>
      <c r="E1480" s="137"/>
      <c r="F1480" s="137"/>
      <c r="G1480" s="137"/>
      <c r="H1480" s="137"/>
      <c r="I1480" s="137"/>
      <c r="J1480" s="137"/>
      <c r="K1480" s="137"/>
      <c r="L1480" s="137"/>
      <c r="M1480" s="137"/>
      <c r="N1480" s="137"/>
      <c r="O1480" s="137"/>
      <c r="P1480" s="137"/>
      <c r="Q1480" s="137"/>
      <c r="R1480" s="137"/>
      <c r="S1480" s="137"/>
      <c r="T1480" s="137"/>
      <c r="U1480" s="137"/>
      <c r="V1480" s="137"/>
      <c r="W1480" s="137"/>
    </row>
    <row r="1481" spans="1:23" x14ac:dyDescent="0.25">
      <c r="A1481" s="137"/>
      <c r="B1481" s="137"/>
      <c r="C1481" s="137"/>
      <c r="D1481" s="137"/>
      <c r="E1481" s="137"/>
      <c r="F1481" s="137"/>
      <c r="G1481" s="137"/>
      <c r="H1481" s="137"/>
      <c r="I1481" s="137"/>
      <c r="J1481" s="137"/>
      <c r="K1481" s="137"/>
      <c r="L1481" s="137"/>
      <c r="M1481" s="137"/>
      <c r="N1481" s="137"/>
      <c r="O1481" s="137"/>
      <c r="P1481" s="137"/>
      <c r="Q1481" s="137"/>
      <c r="R1481" s="137"/>
      <c r="S1481" s="137"/>
      <c r="T1481" s="137"/>
      <c r="U1481" s="137"/>
      <c r="V1481" s="137"/>
      <c r="W1481" s="137"/>
    </row>
    <row r="1482" spans="1:23" x14ac:dyDescent="0.25">
      <c r="A1482" s="137"/>
      <c r="B1482" s="137"/>
      <c r="C1482" s="137"/>
      <c r="D1482" s="137"/>
      <c r="E1482" s="137"/>
      <c r="F1482" s="137"/>
      <c r="G1482" s="137"/>
      <c r="H1482" s="137"/>
      <c r="I1482" s="137"/>
      <c r="J1482" s="137"/>
      <c r="K1482" s="137"/>
      <c r="L1482" s="137"/>
      <c r="M1482" s="137"/>
      <c r="N1482" s="137"/>
      <c r="O1482" s="137"/>
      <c r="P1482" s="137"/>
      <c r="Q1482" s="137"/>
      <c r="R1482" s="137"/>
      <c r="S1482" s="137"/>
      <c r="T1482" s="137"/>
      <c r="U1482" s="137"/>
      <c r="V1482" s="137"/>
      <c r="W1482" s="137"/>
    </row>
    <row r="1483" spans="1:23" x14ac:dyDescent="0.25">
      <c r="A1483" s="137"/>
      <c r="B1483" s="137"/>
      <c r="C1483" s="137"/>
      <c r="D1483" s="137"/>
      <c r="E1483" s="137"/>
      <c r="F1483" s="137"/>
      <c r="G1483" s="137"/>
      <c r="H1483" s="137"/>
      <c r="I1483" s="137"/>
      <c r="J1483" s="137"/>
      <c r="K1483" s="137"/>
      <c r="L1483" s="137"/>
      <c r="M1483" s="137"/>
      <c r="N1483" s="137"/>
      <c r="O1483" s="137"/>
      <c r="P1483" s="137"/>
      <c r="Q1483" s="137"/>
      <c r="R1483" s="137"/>
      <c r="S1483" s="137"/>
      <c r="T1483" s="137"/>
      <c r="U1483" s="137"/>
      <c r="V1483" s="137"/>
      <c r="W1483" s="137"/>
    </row>
    <row r="1484" spans="1:23" x14ac:dyDescent="0.25">
      <c r="A1484" s="137"/>
      <c r="B1484" s="137"/>
      <c r="C1484" s="137"/>
      <c r="D1484" s="137"/>
      <c r="E1484" s="137"/>
      <c r="F1484" s="137"/>
      <c r="G1484" s="137"/>
      <c r="H1484" s="137"/>
      <c r="I1484" s="137"/>
      <c r="J1484" s="137"/>
      <c r="K1484" s="137"/>
      <c r="L1484" s="137"/>
      <c r="M1484" s="137"/>
      <c r="N1484" s="137"/>
      <c r="O1484" s="137"/>
      <c r="P1484" s="137"/>
      <c r="Q1484" s="137"/>
      <c r="R1484" s="137"/>
      <c r="S1484" s="137"/>
      <c r="T1484" s="137"/>
      <c r="U1484" s="137"/>
      <c r="V1484" s="137"/>
      <c r="W1484" s="137"/>
    </row>
    <row r="1485" spans="1:23" x14ac:dyDescent="0.25">
      <c r="A1485" s="137"/>
      <c r="B1485" s="137"/>
      <c r="C1485" s="137"/>
      <c r="D1485" s="137"/>
      <c r="E1485" s="137"/>
      <c r="F1485" s="137"/>
      <c r="G1485" s="137"/>
      <c r="H1485" s="137"/>
      <c r="I1485" s="137"/>
      <c r="J1485" s="137"/>
      <c r="K1485" s="137"/>
      <c r="L1485" s="137"/>
      <c r="M1485" s="137"/>
      <c r="N1485" s="137"/>
      <c r="O1485" s="137"/>
      <c r="P1485" s="137"/>
      <c r="Q1485" s="137"/>
      <c r="R1485" s="137"/>
      <c r="S1485" s="137"/>
      <c r="T1485" s="137"/>
      <c r="U1485" s="137"/>
      <c r="V1485" s="137"/>
      <c r="W1485" s="137"/>
    </row>
    <row r="1486" spans="1:23" x14ac:dyDescent="0.25">
      <c r="A1486" s="137"/>
      <c r="B1486" s="137"/>
      <c r="C1486" s="137"/>
      <c r="D1486" s="137"/>
      <c r="E1486" s="137"/>
      <c r="F1486" s="137"/>
      <c r="G1486" s="137"/>
      <c r="H1486" s="137"/>
      <c r="I1486" s="137"/>
      <c r="J1486" s="137"/>
      <c r="K1486" s="137"/>
      <c r="L1486" s="137"/>
      <c r="M1486" s="137"/>
      <c r="N1486" s="137"/>
      <c r="O1486" s="137"/>
      <c r="P1486" s="137"/>
      <c r="Q1486" s="137"/>
      <c r="R1486" s="137"/>
      <c r="S1486" s="137"/>
      <c r="T1486" s="137"/>
      <c r="U1486" s="137"/>
      <c r="V1486" s="137"/>
      <c r="W1486" s="137"/>
    </row>
    <row r="1487" spans="1:23" x14ac:dyDescent="0.25">
      <c r="A1487" s="137"/>
      <c r="B1487" s="137"/>
      <c r="C1487" s="137"/>
      <c r="D1487" s="137"/>
      <c r="E1487" s="137"/>
      <c r="F1487" s="137"/>
      <c r="G1487" s="137"/>
      <c r="H1487" s="137"/>
      <c r="I1487" s="137"/>
      <c r="J1487" s="137"/>
      <c r="K1487" s="137"/>
      <c r="L1487" s="137"/>
      <c r="M1487" s="137"/>
      <c r="N1487" s="137"/>
      <c r="O1487" s="137"/>
      <c r="P1487" s="137"/>
      <c r="Q1487" s="137"/>
      <c r="R1487" s="137"/>
      <c r="S1487" s="137"/>
      <c r="T1487" s="137"/>
      <c r="U1487" s="137"/>
      <c r="V1487" s="137"/>
      <c r="W1487" s="137"/>
    </row>
    <row r="1488" spans="1:23" x14ac:dyDescent="0.25">
      <c r="A1488" s="137"/>
      <c r="B1488" s="137"/>
      <c r="C1488" s="137"/>
      <c r="D1488" s="137"/>
      <c r="E1488" s="137"/>
      <c r="F1488" s="137"/>
      <c r="G1488" s="137"/>
      <c r="H1488" s="137"/>
      <c r="I1488" s="137"/>
      <c r="J1488" s="137"/>
      <c r="K1488" s="137"/>
      <c r="L1488" s="137"/>
      <c r="M1488" s="137"/>
      <c r="N1488" s="137"/>
      <c r="O1488" s="137"/>
      <c r="P1488" s="137"/>
      <c r="Q1488" s="137"/>
      <c r="R1488" s="137"/>
      <c r="S1488" s="137"/>
      <c r="T1488" s="137"/>
      <c r="U1488" s="137"/>
      <c r="V1488" s="137"/>
      <c r="W1488" s="137"/>
    </row>
    <row r="1489" spans="1:23" x14ac:dyDescent="0.25">
      <c r="A1489" s="137"/>
      <c r="B1489" s="137"/>
      <c r="C1489" s="137"/>
      <c r="D1489" s="137"/>
      <c r="E1489" s="137"/>
      <c r="F1489" s="137"/>
      <c r="G1489" s="137"/>
      <c r="H1489" s="137"/>
      <c r="I1489" s="137"/>
      <c r="J1489" s="137"/>
      <c r="K1489" s="137"/>
      <c r="L1489" s="137"/>
      <c r="M1489" s="137"/>
      <c r="N1489" s="137"/>
      <c r="O1489" s="137"/>
      <c r="P1489" s="137"/>
      <c r="Q1489" s="137"/>
      <c r="R1489" s="137"/>
      <c r="S1489" s="137"/>
      <c r="T1489" s="137"/>
      <c r="U1489" s="137"/>
      <c r="V1489" s="137"/>
      <c r="W1489" s="137"/>
    </row>
    <row r="1490" spans="1:23" x14ac:dyDescent="0.25">
      <c r="A1490" s="137"/>
      <c r="B1490" s="137"/>
      <c r="C1490" s="137"/>
      <c r="D1490" s="137"/>
      <c r="E1490" s="137"/>
      <c r="F1490" s="137"/>
      <c r="G1490" s="137"/>
      <c r="H1490" s="137"/>
      <c r="I1490" s="137"/>
      <c r="J1490" s="137"/>
      <c r="K1490" s="137"/>
      <c r="L1490" s="137"/>
      <c r="M1490" s="137"/>
      <c r="N1490" s="137"/>
      <c r="O1490" s="137"/>
      <c r="P1490" s="137"/>
      <c r="Q1490" s="137"/>
      <c r="R1490" s="137"/>
      <c r="S1490" s="137"/>
      <c r="T1490" s="137"/>
      <c r="U1490" s="137"/>
      <c r="V1490" s="137"/>
      <c r="W1490" s="137"/>
    </row>
    <row r="1491" spans="1:23" x14ac:dyDescent="0.25">
      <c r="A1491" s="137"/>
      <c r="B1491" s="137"/>
      <c r="C1491" s="137"/>
      <c r="D1491" s="137"/>
      <c r="E1491" s="137"/>
      <c r="F1491" s="137"/>
      <c r="G1491" s="137"/>
      <c r="H1491" s="137"/>
      <c r="I1491" s="137"/>
      <c r="J1491" s="137"/>
      <c r="K1491" s="137"/>
      <c r="L1491" s="137"/>
      <c r="M1491" s="137"/>
      <c r="N1491" s="137"/>
      <c r="O1491" s="137"/>
      <c r="P1491" s="137"/>
      <c r="Q1491" s="137"/>
      <c r="R1491" s="137"/>
      <c r="S1491" s="137"/>
      <c r="T1491" s="137"/>
      <c r="U1491" s="137"/>
      <c r="V1491" s="137"/>
      <c r="W1491" s="137"/>
    </row>
    <row r="1492" spans="1:23" x14ac:dyDescent="0.25">
      <c r="A1492" s="137"/>
      <c r="B1492" s="137"/>
      <c r="C1492" s="137"/>
      <c r="D1492" s="137"/>
      <c r="E1492" s="137"/>
      <c r="F1492" s="137"/>
      <c r="G1492" s="137"/>
      <c r="H1492" s="137"/>
      <c r="I1492" s="137"/>
      <c r="J1492" s="137"/>
      <c r="K1492" s="137"/>
      <c r="L1492" s="137"/>
      <c r="M1492" s="137"/>
      <c r="N1492" s="137"/>
      <c r="O1492" s="137"/>
      <c r="P1492" s="137"/>
      <c r="Q1492" s="137"/>
      <c r="R1492" s="137"/>
      <c r="S1492" s="137"/>
      <c r="T1492" s="137"/>
      <c r="U1492" s="137"/>
      <c r="V1492" s="137"/>
      <c r="W1492" s="137"/>
    </row>
    <row r="1493" spans="1:23" x14ac:dyDescent="0.25">
      <c r="A1493" s="137"/>
      <c r="B1493" s="137"/>
      <c r="C1493" s="137"/>
      <c r="D1493" s="137"/>
      <c r="E1493" s="137"/>
      <c r="F1493" s="137"/>
      <c r="G1493" s="137"/>
      <c r="H1493" s="137"/>
      <c r="I1493" s="137"/>
      <c r="J1493" s="137"/>
      <c r="K1493" s="137"/>
      <c r="L1493" s="137"/>
      <c r="M1493" s="137"/>
      <c r="N1493" s="137"/>
      <c r="O1493" s="137"/>
      <c r="P1493" s="137"/>
      <c r="Q1493" s="137"/>
      <c r="R1493" s="137"/>
      <c r="S1493" s="137"/>
      <c r="T1493" s="137"/>
      <c r="U1493" s="137"/>
      <c r="V1493" s="137"/>
      <c r="W1493" s="137"/>
    </row>
    <row r="1494" spans="1:23" x14ac:dyDescent="0.25">
      <c r="A1494" s="137"/>
      <c r="B1494" s="137"/>
      <c r="C1494" s="137"/>
      <c r="D1494" s="137"/>
      <c r="E1494" s="137"/>
      <c r="F1494" s="137"/>
      <c r="G1494" s="137"/>
      <c r="H1494" s="137"/>
      <c r="I1494" s="137"/>
      <c r="J1494" s="137"/>
      <c r="K1494" s="137"/>
      <c r="L1494" s="137"/>
      <c r="M1494" s="137"/>
      <c r="N1494" s="137"/>
      <c r="O1494" s="137"/>
      <c r="P1494" s="137"/>
      <c r="Q1494" s="137"/>
      <c r="R1494" s="137"/>
      <c r="S1494" s="137"/>
      <c r="T1494" s="137"/>
      <c r="U1494" s="137"/>
      <c r="V1494" s="137"/>
      <c r="W1494" s="137"/>
    </row>
    <row r="1495" spans="1:23" x14ac:dyDescent="0.25">
      <c r="A1495" s="137"/>
      <c r="B1495" s="137"/>
      <c r="C1495" s="137"/>
      <c r="D1495" s="137"/>
      <c r="E1495" s="137"/>
      <c r="F1495" s="137"/>
      <c r="G1495" s="137"/>
      <c r="H1495" s="137"/>
      <c r="I1495" s="137"/>
      <c r="J1495" s="137"/>
      <c r="K1495" s="137"/>
      <c r="L1495" s="137"/>
      <c r="M1495" s="137"/>
      <c r="N1495" s="137"/>
      <c r="O1495" s="137"/>
      <c r="P1495" s="137"/>
      <c r="Q1495" s="137"/>
      <c r="R1495" s="137"/>
      <c r="S1495" s="137"/>
      <c r="T1495" s="137"/>
      <c r="U1495" s="137"/>
      <c r="V1495" s="137"/>
      <c r="W1495" s="137"/>
    </row>
    <row r="1496" spans="1:23" x14ac:dyDescent="0.25">
      <c r="A1496" s="137"/>
      <c r="B1496" s="137"/>
      <c r="C1496" s="137"/>
      <c r="D1496" s="137"/>
      <c r="E1496" s="137"/>
      <c r="F1496" s="137"/>
      <c r="G1496" s="137"/>
      <c r="H1496" s="137"/>
      <c r="I1496" s="137"/>
      <c r="J1496" s="137"/>
      <c r="K1496" s="137"/>
      <c r="L1496" s="137"/>
      <c r="M1496" s="137"/>
      <c r="N1496" s="137"/>
      <c r="O1496" s="137"/>
      <c r="P1496" s="137"/>
      <c r="Q1496" s="137"/>
      <c r="R1496" s="137"/>
      <c r="S1496" s="137"/>
      <c r="T1496" s="137"/>
      <c r="U1496" s="137"/>
      <c r="V1496" s="137"/>
      <c r="W1496" s="137"/>
    </row>
    <row r="1497" spans="1:23" x14ac:dyDescent="0.25">
      <c r="A1497" s="137"/>
      <c r="B1497" s="137"/>
      <c r="C1497" s="137"/>
      <c r="D1497" s="137"/>
      <c r="E1497" s="137"/>
      <c r="F1497" s="137"/>
      <c r="G1497" s="137"/>
      <c r="H1497" s="137"/>
      <c r="I1497" s="137"/>
      <c r="J1497" s="137"/>
      <c r="K1497" s="137"/>
      <c r="L1497" s="137"/>
      <c r="M1497" s="137"/>
      <c r="N1497" s="137"/>
      <c r="O1497" s="137"/>
      <c r="P1497" s="137"/>
      <c r="Q1497" s="137"/>
      <c r="R1497" s="137"/>
      <c r="S1497" s="137"/>
      <c r="T1497" s="137"/>
      <c r="U1497" s="137"/>
      <c r="V1497" s="137"/>
      <c r="W1497" s="137"/>
    </row>
    <row r="1498" spans="1:23" x14ac:dyDescent="0.25">
      <c r="A1498" s="137"/>
      <c r="B1498" s="137"/>
      <c r="C1498" s="137"/>
      <c r="D1498" s="137"/>
      <c r="E1498" s="137"/>
      <c r="F1498" s="137"/>
      <c r="G1498" s="137"/>
      <c r="H1498" s="137"/>
      <c r="I1498" s="137"/>
      <c r="J1498" s="137"/>
      <c r="K1498" s="137"/>
      <c r="L1498" s="137"/>
      <c r="M1498" s="137"/>
      <c r="N1498" s="137"/>
      <c r="O1498" s="137"/>
      <c r="P1498" s="137"/>
      <c r="Q1498" s="137"/>
      <c r="R1498" s="137"/>
      <c r="S1498" s="137"/>
      <c r="T1498" s="137"/>
      <c r="U1498" s="137"/>
      <c r="V1498" s="137"/>
      <c r="W1498" s="137"/>
    </row>
    <row r="1499" spans="1:23" x14ac:dyDescent="0.25">
      <c r="A1499" s="137"/>
      <c r="B1499" s="137"/>
      <c r="C1499" s="137"/>
      <c r="D1499" s="137"/>
      <c r="E1499" s="137"/>
      <c r="F1499" s="137"/>
      <c r="G1499" s="137"/>
      <c r="H1499" s="137"/>
      <c r="I1499" s="137"/>
      <c r="J1499" s="137"/>
      <c r="K1499" s="137"/>
      <c r="L1499" s="137"/>
      <c r="M1499" s="137"/>
      <c r="N1499" s="137"/>
      <c r="O1499" s="137"/>
      <c r="P1499" s="137"/>
      <c r="Q1499" s="137"/>
      <c r="R1499" s="137"/>
      <c r="S1499" s="137"/>
      <c r="T1499" s="137"/>
      <c r="U1499" s="137"/>
      <c r="V1499" s="137"/>
      <c r="W1499" s="137"/>
    </row>
    <row r="1500" spans="1:23" x14ac:dyDescent="0.25">
      <c r="A1500" s="137"/>
      <c r="B1500" s="137"/>
      <c r="C1500" s="137"/>
      <c r="D1500" s="137"/>
      <c r="E1500" s="137"/>
      <c r="F1500" s="137"/>
      <c r="G1500" s="137"/>
      <c r="H1500" s="137"/>
      <c r="I1500" s="137"/>
      <c r="J1500" s="137"/>
      <c r="K1500" s="137"/>
      <c r="L1500" s="137"/>
      <c r="M1500" s="137"/>
      <c r="N1500" s="137"/>
      <c r="O1500" s="137"/>
      <c r="P1500" s="137"/>
      <c r="Q1500" s="137"/>
      <c r="R1500" s="137"/>
      <c r="S1500" s="137"/>
      <c r="T1500" s="137"/>
      <c r="U1500" s="137"/>
      <c r="V1500" s="137"/>
      <c r="W1500" s="137"/>
    </row>
    <row r="1501" spans="1:23" x14ac:dyDescent="0.25">
      <c r="A1501" s="137"/>
      <c r="B1501" s="137"/>
      <c r="C1501" s="137"/>
      <c r="D1501" s="137"/>
      <c r="E1501" s="137"/>
      <c r="F1501" s="137"/>
      <c r="G1501" s="137"/>
      <c r="H1501" s="137"/>
      <c r="I1501" s="137"/>
      <c r="J1501" s="137"/>
      <c r="K1501" s="137"/>
      <c r="L1501" s="137"/>
      <c r="M1501" s="137"/>
      <c r="N1501" s="137"/>
      <c r="O1501" s="137"/>
      <c r="P1501" s="137"/>
      <c r="Q1501" s="137"/>
      <c r="R1501" s="137"/>
      <c r="S1501" s="137"/>
      <c r="T1501" s="137"/>
      <c r="U1501" s="137"/>
      <c r="V1501" s="137"/>
      <c r="W1501" s="137"/>
    </row>
    <row r="1502" spans="1:23" x14ac:dyDescent="0.25">
      <c r="A1502" s="137"/>
      <c r="B1502" s="137"/>
      <c r="C1502" s="137"/>
      <c r="D1502" s="137"/>
      <c r="E1502" s="137"/>
      <c r="F1502" s="137"/>
      <c r="G1502" s="137"/>
      <c r="H1502" s="137"/>
      <c r="I1502" s="137"/>
      <c r="J1502" s="137"/>
      <c r="K1502" s="137"/>
      <c r="L1502" s="137"/>
      <c r="M1502" s="137"/>
      <c r="N1502" s="137"/>
      <c r="O1502" s="137"/>
      <c r="P1502" s="137"/>
      <c r="Q1502" s="137"/>
      <c r="R1502" s="137"/>
      <c r="S1502" s="137"/>
      <c r="T1502" s="137"/>
      <c r="U1502" s="137"/>
      <c r="V1502" s="137"/>
      <c r="W1502" s="137"/>
    </row>
    <row r="1503" spans="1:23" x14ac:dyDescent="0.25">
      <c r="A1503" s="137"/>
      <c r="B1503" s="137"/>
      <c r="C1503" s="137"/>
      <c r="D1503" s="137"/>
      <c r="E1503" s="137"/>
      <c r="F1503" s="137"/>
      <c r="G1503" s="137"/>
      <c r="H1503" s="137"/>
      <c r="I1503" s="137"/>
      <c r="J1503" s="137"/>
      <c r="K1503" s="137"/>
      <c r="L1503" s="137"/>
      <c r="M1503" s="137"/>
      <c r="N1503" s="137"/>
      <c r="O1503" s="137"/>
      <c r="P1503" s="137"/>
      <c r="Q1503" s="137"/>
      <c r="R1503" s="137"/>
      <c r="S1503" s="137"/>
      <c r="T1503" s="137"/>
      <c r="U1503" s="137"/>
      <c r="V1503" s="137"/>
      <c r="W1503" s="137"/>
    </row>
    <row r="1504" spans="1:23" x14ac:dyDescent="0.25">
      <c r="A1504" s="137"/>
      <c r="B1504" s="137"/>
      <c r="C1504" s="137"/>
      <c r="D1504" s="137"/>
      <c r="E1504" s="137"/>
      <c r="F1504" s="137"/>
      <c r="G1504" s="137"/>
      <c r="H1504" s="137"/>
      <c r="I1504" s="137"/>
      <c r="J1504" s="137"/>
      <c r="K1504" s="137"/>
      <c r="L1504" s="137"/>
      <c r="M1504" s="137"/>
      <c r="N1504" s="137"/>
      <c r="O1504" s="137"/>
      <c r="P1504" s="137"/>
      <c r="Q1504" s="137"/>
      <c r="R1504" s="137"/>
      <c r="S1504" s="137"/>
      <c r="T1504" s="137"/>
      <c r="U1504" s="137"/>
      <c r="V1504" s="137"/>
      <c r="W1504" s="137"/>
    </row>
    <row r="1505" spans="1:23" x14ac:dyDescent="0.25">
      <c r="A1505" s="137"/>
      <c r="B1505" s="137"/>
      <c r="C1505" s="137"/>
      <c r="D1505" s="137"/>
      <c r="E1505" s="137"/>
      <c r="F1505" s="137"/>
      <c r="G1505" s="137"/>
      <c r="H1505" s="137"/>
      <c r="I1505" s="137"/>
      <c r="J1505" s="137"/>
      <c r="K1505" s="137"/>
      <c r="L1505" s="137"/>
      <c r="M1505" s="137"/>
      <c r="N1505" s="137"/>
      <c r="O1505" s="137"/>
      <c r="P1505" s="137"/>
      <c r="Q1505" s="137"/>
      <c r="R1505" s="137"/>
      <c r="S1505" s="137"/>
      <c r="T1505" s="137"/>
      <c r="U1505" s="137"/>
      <c r="V1505" s="137"/>
      <c r="W1505" s="137"/>
    </row>
    <row r="1506" spans="1:23" x14ac:dyDescent="0.25">
      <c r="A1506" s="137"/>
      <c r="B1506" s="137"/>
      <c r="C1506" s="137"/>
      <c r="D1506" s="137"/>
      <c r="E1506" s="137"/>
      <c r="F1506" s="137"/>
      <c r="G1506" s="137"/>
      <c r="H1506" s="137"/>
      <c r="I1506" s="137"/>
      <c r="J1506" s="137"/>
      <c r="K1506" s="137"/>
      <c r="L1506" s="137"/>
      <c r="M1506" s="137"/>
      <c r="N1506" s="137"/>
      <c r="O1506" s="137"/>
      <c r="P1506" s="137"/>
      <c r="Q1506" s="137"/>
      <c r="R1506" s="137"/>
      <c r="S1506" s="137"/>
      <c r="T1506" s="137"/>
      <c r="U1506" s="137"/>
      <c r="V1506" s="137"/>
      <c r="W1506" s="137"/>
    </row>
    <row r="1507" spans="1:23" x14ac:dyDescent="0.25">
      <c r="A1507" s="137"/>
      <c r="B1507" s="137"/>
      <c r="C1507" s="137"/>
      <c r="D1507" s="137"/>
      <c r="E1507" s="137"/>
      <c r="F1507" s="137"/>
      <c r="G1507" s="137"/>
      <c r="H1507" s="137"/>
      <c r="I1507" s="137"/>
      <c r="J1507" s="137"/>
      <c r="K1507" s="137"/>
      <c r="L1507" s="137"/>
      <c r="M1507" s="137"/>
      <c r="N1507" s="137"/>
      <c r="O1507" s="137"/>
      <c r="P1507" s="137"/>
      <c r="Q1507" s="137"/>
      <c r="R1507" s="137"/>
      <c r="S1507" s="137"/>
      <c r="T1507" s="137"/>
      <c r="U1507" s="137"/>
      <c r="V1507" s="137"/>
      <c r="W1507" s="137"/>
    </row>
    <row r="1508" spans="1:23" x14ac:dyDescent="0.25">
      <c r="A1508" s="137"/>
      <c r="B1508" s="137"/>
      <c r="C1508" s="137"/>
      <c r="D1508" s="137"/>
      <c r="E1508" s="137"/>
      <c r="F1508" s="137"/>
      <c r="G1508" s="137"/>
      <c r="H1508" s="137"/>
      <c r="I1508" s="137"/>
      <c r="J1508" s="137"/>
      <c r="K1508" s="137"/>
      <c r="L1508" s="137"/>
      <c r="M1508" s="137"/>
      <c r="N1508" s="137"/>
      <c r="O1508" s="137"/>
      <c r="P1508" s="137"/>
      <c r="Q1508" s="137"/>
      <c r="R1508" s="137"/>
      <c r="S1508" s="137"/>
      <c r="T1508" s="137"/>
      <c r="U1508" s="137"/>
      <c r="V1508" s="137"/>
      <c r="W1508" s="137"/>
    </row>
    <row r="1509" spans="1:23" x14ac:dyDescent="0.25">
      <c r="A1509" s="137"/>
      <c r="B1509" s="137"/>
      <c r="C1509" s="137"/>
      <c r="D1509" s="137"/>
      <c r="E1509" s="137"/>
      <c r="F1509" s="137"/>
      <c r="G1509" s="137"/>
      <c r="H1509" s="137"/>
      <c r="I1509" s="137"/>
      <c r="J1509" s="137"/>
      <c r="K1509" s="137"/>
      <c r="L1509" s="137"/>
      <c r="M1509" s="137"/>
      <c r="N1509" s="137"/>
      <c r="O1509" s="137"/>
      <c r="P1509" s="137"/>
      <c r="Q1509" s="137"/>
      <c r="R1509" s="137"/>
      <c r="S1509" s="137"/>
      <c r="T1509" s="137"/>
      <c r="U1509" s="137"/>
      <c r="V1509" s="137"/>
      <c r="W1509" s="137"/>
    </row>
    <row r="1510" spans="1:23" x14ac:dyDescent="0.25">
      <c r="A1510" s="137"/>
      <c r="B1510" s="137"/>
      <c r="C1510" s="137"/>
      <c r="D1510" s="137"/>
      <c r="E1510" s="137"/>
      <c r="F1510" s="137"/>
      <c r="G1510" s="137"/>
      <c r="H1510" s="137"/>
      <c r="I1510" s="137"/>
      <c r="J1510" s="137"/>
      <c r="K1510" s="137"/>
      <c r="L1510" s="137"/>
      <c r="M1510" s="137"/>
      <c r="N1510" s="137"/>
      <c r="O1510" s="137"/>
      <c r="P1510" s="137"/>
      <c r="Q1510" s="137"/>
      <c r="R1510" s="137"/>
      <c r="S1510" s="137"/>
      <c r="T1510" s="137"/>
      <c r="U1510" s="137"/>
      <c r="V1510" s="137"/>
      <c r="W1510" s="137"/>
    </row>
    <row r="1511" spans="1:23" x14ac:dyDescent="0.25">
      <c r="A1511" s="137"/>
      <c r="B1511" s="137"/>
      <c r="C1511" s="137"/>
      <c r="D1511" s="137"/>
      <c r="E1511" s="137"/>
      <c r="F1511" s="137"/>
      <c r="G1511" s="137"/>
      <c r="H1511" s="137"/>
      <c r="I1511" s="137"/>
      <c r="J1511" s="137"/>
      <c r="K1511" s="137"/>
      <c r="L1511" s="137"/>
      <c r="M1511" s="137"/>
      <c r="N1511" s="137"/>
      <c r="O1511" s="137"/>
      <c r="P1511" s="137"/>
      <c r="Q1511" s="137"/>
      <c r="R1511" s="137"/>
      <c r="S1511" s="137"/>
      <c r="T1511" s="137"/>
      <c r="U1511" s="137"/>
      <c r="V1511" s="137"/>
      <c r="W1511" s="137"/>
    </row>
    <row r="1512" spans="1:23" x14ac:dyDescent="0.25">
      <c r="A1512" s="137"/>
      <c r="B1512" s="137"/>
      <c r="C1512" s="137"/>
      <c r="D1512" s="137"/>
      <c r="E1512" s="137"/>
      <c r="F1512" s="137"/>
      <c r="G1512" s="137"/>
      <c r="H1512" s="137"/>
      <c r="I1512" s="137"/>
      <c r="J1512" s="137"/>
      <c r="K1512" s="137"/>
      <c r="L1512" s="137"/>
      <c r="M1512" s="137"/>
      <c r="N1512" s="137"/>
      <c r="O1512" s="137"/>
      <c r="P1512" s="137"/>
      <c r="Q1512" s="137"/>
      <c r="R1512" s="137"/>
      <c r="S1512" s="137"/>
      <c r="T1512" s="137"/>
      <c r="U1512" s="137"/>
      <c r="V1512" s="137"/>
      <c r="W1512" s="137"/>
    </row>
    <row r="1513" spans="1:23" x14ac:dyDescent="0.25">
      <c r="A1513" s="137"/>
      <c r="B1513" s="137"/>
      <c r="C1513" s="137"/>
      <c r="D1513" s="137"/>
      <c r="E1513" s="137"/>
      <c r="F1513" s="137"/>
      <c r="G1513" s="137"/>
      <c r="H1513" s="137"/>
      <c r="I1513" s="137"/>
      <c r="J1513" s="137"/>
      <c r="K1513" s="137"/>
      <c r="L1513" s="137"/>
      <c r="M1513" s="137"/>
      <c r="N1513" s="137"/>
      <c r="O1513" s="137"/>
      <c r="P1513" s="137"/>
      <c r="Q1513" s="137"/>
      <c r="R1513" s="137"/>
      <c r="S1513" s="137"/>
      <c r="T1513" s="137"/>
      <c r="U1513" s="137"/>
      <c r="V1513" s="137"/>
      <c r="W1513" s="137"/>
    </row>
    <row r="1514" spans="1:23" x14ac:dyDescent="0.25">
      <c r="A1514" s="137"/>
      <c r="B1514" s="137"/>
      <c r="C1514" s="137"/>
      <c r="D1514" s="137"/>
      <c r="E1514" s="137"/>
      <c r="F1514" s="137"/>
      <c r="G1514" s="137"/>
      <c r="H1514" s="137"/>
      <c r="I1514" s="137"/>
      <c r="J1514" s="137"/>
      <c r="K1514" s="137"/>
      <c r="L1514" s="137"/>
      <c r="M1514" s="137"/>
      <c r="N1514" s="137"/>
      <c r="O1514" s="137"/>
      <c r="P1514" s="137"/>
      <c r="Q1514" s="137"/>
      <c r="R1514" s="137"/>
      <c r="S1514" s="137"/>
      <c r="T1514" s="137"/>
      <c r="U1514" s="137"/>
      <c r="V1514" s="137"/>
      <c r="W1514" s="137"/>
    </row>
    <row r="1515" spans="1:23" x14ac:dyDescent="0.25">
      <c r="A1515" s="137"/>
      <c r="B1515" s="137"/>
      <c r="C1515" s="137"/>
      <c r="D1515" s="137"/>
      <c r="E1515" s="137"/>
      <c r="F1515" s="137"/>
      <c r="G1515" s="137"/>
      <c r="H1515" s="137"/>
      <c r="I1515" s="137"/>
      <c r="J1515" s="137"/>
      <c r="K1515" s="137"/>
      <c r="L1515" s="137"/>
      <c r="M1515" s="137"/>
      <c r="N1515" s="137"/>
      <c r="O1515" s="137"/>
      <c r="P1515" s="137"/>
      <c r="Q1515" s="137"/>
      <c r="R1515" s="137"/>
      <c r="S1515" s="137"/>
      <c r="T1515" s="137"/>
      <c r="U1515" s="137"/>
      <c r="V1515" s="137"/>
      <c r="W1515" s="137"/>
    </row>
    <row r="1516" spans="1:23" x14ac:dyDescent="0.25">
      <c r="A1516" s="137"/>
      <c r="B1516" s="137"/>
      <c r="C1516" s="137"/>
      <c r="D1516" s="137"/>
      <c r="E1516" s="137"/>
      <c r="F1516" s="137"/>
      <c r="G1516" s="137"/>
      <c r="H1516" s="137"/>
      <c r="I1516" s="137"/>
      <c r="J1516" s="137"/>
      <c r="K1516" s="137"/>
      <c r="L1516" s="137"/>
      <c r="M1516" s="137"/>
      <c r="N1516" s="137"/>
      <c r="O1516" s="137"/>
      <c r="P1516" s="137"/>
      <c r="Q1516" s="137"/>
      <c r="R1516" s="137"/>
      <c r="S1516" s="137"/>
      <c r="T1516" s="137"/>
      <c r="U1516" s="137"/>
      <c r="V1516" s="137"/>
      <c r="W1516" s="137"/>
    </row>
    <row r="1517" spans="1:23" x14ac:dyDescent="0.25">
      <c r="A1517" s="137"/>
      <c r="B1517" s="137"/>
      <c r="C1517" s="137"/>
      <c r="D1517" s="137"/>
      <c r="E1517" s="137"/>
      <c r="F1517" s="137"/>
      <c r="G1517" s="137"/>
      <c r="H1517" s="137"/>
      <c r="I1517" s="137"/>
      <c r="J1517" s="137"/>
      <c r="K1517" s="137"/>
      <c r="L1517" s="137"/>
      <c r="M1517" s="137"/>
      <c r="N1517" s="137"/>
      <c r="O1517" s="137"/>
      <c r="P1517" s="137"/>
      <c r="Q1517" s="137"/>
      <c r="R1517" s="137"/>
      <c r="S1517" s="137"/>
      <c r="T1517" s="137"/>
      <c r="U1517" s="137"/>
      <c r="V1517" s="137"/>
      <c r="W1517" s="137"/>
    </row>
    <row r="1518" spans="1:23" x14ac:dyDescent="0.25">
      <c r="A1518" s="137"/>
      <c r="B1518" s="137"/>
      <c r="C1518" s="137"/>
      <c r="D1518" s="137"/>
      <c r="E1518" s="137"/>
      <c r="F1518" s="137"/>
      <c r="G1518" s="137"/>
      <c r="H1518" s="137"/>
      <c r="I1518" s="137"/>
      <c r="J1518" s="137"/>
      <c r="K1518" s="137"/>
      <c r="L1518" s="137"/>
      <c r="M1518" s="137"/>
      <c r="N1518" s="137"/>
      <c r="O1518" s="137"/>
      <c r="P1518" s="137"/>
      <c r="Q1518" s="137"/>
      <c r="R1518" s="137"/>
      <c r="S1518" s="137"/>
      <c r="T1518" s="137"/>
      <c r="U1518" s="137"/>
      <c r="V1518" s="137"/>
      <c r="W1518" s="137"/>
    </row>
    <row r="1519" spans="1:23" x14ac:dyDescent="0.25">
      <c r="A1519" s="137"/>
      <c r="B1519" s="137"/>
      <c r="C1519" s="137"/>
      <c r="D1519" s="137"/>
      <c r="E1519" s="137"/>
      <c r="F1519" s="137"/>
      <c r="G1519" s="137"/>
      <c r="H1519" s="137"/>
      <c r="I1519" s="137"/>
      <c r="J1519" s="137"/>
      <c r="K1519" s="137"/>
      <c r="L1519" s="137"/>
      <c r="M1519" s="137"/>
      <c r="N1519" s="137"/>
      <c r="O1519" s="137"/>
      <c r="P1519" s="137"/>
      <c r="Q1519" s="137"/>
      <c r="R1519" s="137"/>
      <c r="S1519" s="137"/>
      <c r="T1519" s="137"/>
      <c r="U1519" s="137"/>
      <c r="V1519" s="137"/>
      <c r="W1519" s="137"/>
    </row>
    <row r="1520" spans="1:23" x14ac:dyDescent="0.25">
      <c r="A1520" s="137"/>
      <c r="B1520" s="137"/>
      <c r="C1520" s="137"/>
      <c r="D1520" s="137"/>
      <c r="E1520" s="137"/>
      <c r="F1520" s="137"/>
      <c r="G1520" s="137"/>
      <c r="H1520" s="137"/>
      <c r="I1520" s="137"/>
      <c r="J1520" s="137"/>
      <c r="K1520" s="137"/>
      <c r="L1520" s="137"/>
      <c r="M1520" s="137"/>
      <c r="N1520" s="137"/>
      <c r="O1520" s="137"/>
      <c r="P1520" s="137"/>
      <c r="Q1520" s="137"/>
      <c r="R1520" s="137"/>
      <c r="S1520" s="137"/>
      <c r="T1520" s="137"/>
      <c r="U1520" s="137"/>
      <c r="V1520" s="137"/>
      <c r="W1520" s="137"/>
    </row>
    <row r="1521" spans="1:23" x14ac:dyDescent="0.25">
      <c r="A1521" s="137"/>
      <c r="B1521" s="137"/>
      <c r="C1521" s="137"/>
      <c r="D1521" s="137"/>
      <c r="E1521" s="137"/>
      <c r="F1521" s="137"/>
      <c r="G1521" s="137"/>
      <c r="H1521" s="137"/>
      <c r="I1521" s="137"/>
      <c r="J1521" s="137"/>
      <c r="K1521" s="137"/>
      <c r="L1521" s="137"/>
      <c r="M1521" s="137"/>
      <c r="N1521" s="137"/>
      <c r="O1521" s="137"/>
      <c r="P1521" s="137"/>
      <c r="Q1521" s="137"/>
      <c r="R1521" s="137"/>
      <c r="S1521" s="137"/>
      <c r="T1521" s="137"/>
      <c r="U1521" s="137"/>
      <c r="V1521" s="137"/>
      <c r="W1521" s="137"/>
    </row>
    <row r="1522" spans="1:23" x14ac:dyDescent="0.25">
      <c r="A1522" s="137"/>
      <c r="B1522" s="137"/>
      <c r="C1522" s="137"/>
      <c r="D1522" s="137"/>
      <c r="E1522" s="137"/>
      <c r="F1522" s="137"/>
      <c r="G1522" s="137"/>
      <c r="H1522" s="137"/>
      <c r="I1522" s="137"/>
      <c r="J1522" s="137"/>
      <c r="K1522" s="137"/>
      <c r="L1522" s="137"/>
      <c r="M1522" s="137"/>
      <c r="N1522" s="137"/>
      <c r="O1522" s="137"/>
      <c r="P1522" s="137"/>
      <c r="Q1522" s="137"/>
      <c r="R1522" s="137"/>
      <c r="S1522" s="137"/>
      <c r="T1522" s="137"/>
      <c r="U1522" s="137"/>
      <c r="V1522" s="137"/>
      <c r="W1522" s="137"/>
    </row>
    <row r="1523" spans="1:23" x14ac:dyDescent="0.25">
      <c r="A1523" s="137"/>
      <c r="B1523" s="137"/>
      <c r="C1523" s="137"/>
      <c r="D1523" s="137"/>
      <c r="E1523" s="137"/>
      <c r="F1523" s="137"/>
      <c r="G1523" s="137"/>
      <c r="H1523" s="137"/>
      <c r="I1523" s="137"/>
      <c r="J1523" s="137"/>
      <c r="K1523" s="137"/>
      <c r="L1523" s="137"/>
      <c r="M1523" s="137"/>
      <c r="N1523" s="137"/>
      <c r="O1523" s="137"/>
      <c r="P1523" s="137"/>
      <c r="Q1523" s="137"/>
      <c r="R1523" s="137"/>
      <c r="S1523" s="137"/>
      <c r="T1523" s="137"/>
      <c r="U1523" s="137"/>
      <c r="V1523" s="137"/>
      <c r="W1523" s="137"/>
    </row>
    <row r="1524" spans="1:23" x14ac:dyDescent="0.25">
      <c r="A1524" s="137"/>
      <c r="B1524" s="137"/>
      <c r="C1524" s="137"/>
      <c r="D1524" s="137"/>
      <c r="E1524" s="137"/>
      <c r="F1524" s="137"/>
      <c r="G1524" s="137"/>
      <c r="H1524" s="137"/>
      <c r="I1524" s="137"/>
      <c r="J1524" s="137"/>
      <c r="K1524" s="137"/>
      <c r="L1524" s="137"/>
      <c r="M1524" s="137"/>
      <c r="N1524" s="137"/>
      <c r="O1524" s="137"/>
      <c r="P1524" s="137"/>
      <c r="Q1524" s="137"/>
      <c r="R1524" s="137"/>
      <c r="S1524" s="137"/>
      <c r="T1524" s="137"/>
      <c r="U1524" s="137"/>
      <c r="V1524" s="137"/>
      <c r="W1524" s="137"/>
    </row>
    <row r="1525" spans="1:23" x14ac:dyDescent="0.25">
      <c r="A1525" s="137"/>
      <c r="B1525" s="137"/>
      <c r="C1525" s="137"/>
      <c r="D1525" s="137"/>
      <c r="E1525" s="137"/>
      <c r="F1525" s="137"/>
      <c r="G1525" s="137"/>
      <c r="H1525" s="137"/>
      <c r="I1525" s="137"/>
      <c r="J1525" s="137"/>
      <c r="K1525" s="137"/>
      <c r="L1525" s="137"/>
      <c r="M1525" s="137"/>
      <c r="N1525" s="137"/>
      <c r="O1525" s="137"/>
      <c r="P1525" s="137"/>
      <c r="Q1525" s="137"/>
      <c r="R1525" s="137"/>
      <c r="S1525" s="137"/>
      <c r="T1525" s="137"/>
      <c r="U1525" s="137"/>
      <c r="V1525" s="137"/>
      <c r="W1525" s="137"/>
    </row>
    <row r="1526" spans="1:23" x14ac:dyDescent="0.25">
      <c r="A1526" s="137"/>
      <c r="B1526" s="137"/>
      <c r="C1526" s="137"/>
      <c r="D1526" s="137"/>
      <c r="E1526" s="137"/>
      <c r="F1526" s="137"/>
      <c r="G1526" s="137"/>
      <c r="H1526" s="137"/>
      <c r="I1526" s="137"/>
      <c r="J1526" s="137"/>
      <c r="K1526" s="137"/>
      <c r="L1526" s="137"/>
      <c r="M1526" s="137"/>
      <c r="N1526" s="137"/>
      <c r="O1526" s="137"/>
      <c r="P1526" s="137"/>
      <c r="Q1526" s="137"/>
      <c r="R1526" s="137"/>
      <c r="S1526" s="137"/>
      <c r="T1526" s="137"/>
      <c r="U1526" s="137"/>
      <c r="V1526" s="137"/>
      <c r="W1526" s="137"/>
    </row>
    <row r="1527" spans="1:23" x14ac:dyDescent="0.25">
      <c r="A1527" s="137"/>
      <c r="B1527" s="137"/>
      <c r="C1527" s="137"/>
      <c r="D1527" s="137"/>
      <c r="E1527" s="137"/>
      <c r="F1527" s="137"/>
      <c r="G1527" s="137"/>
      <c r="H1527" s="137"/>
      <c r="I1527" s="137"/>
      <c r="J1527" s="137"/>
      <c r="K1527" s="137"/>
      <c r="L1527" s="137"/>
      <c r="M1527" s="137"/>
      <c r="N1527" s="137"/>
      <c r="O1527" s="137"/>
      <c r="P1527" s="137"/>
      <c r="Q1527" s="137"/>
      <c r="R1527" s="137"/>
      <c r="S1527" s="137"/>
      <c r="T1527" s="137"/>
      <c r="U1527" s="137"/>
      <c r="V1527" s="137"/>
      <c r="W1527" s="137"/>
    </row>
    <row r="1528" spans="1:23" x14ac:dyDescent="0.25">
      <c r="A1528" s="137"/>
      <c r="B1528" s="137"/>
      <c r="C1528" s="137"/>
      <c r="D1528" s="137"/>
      <c r="E1528" s="137"/>
      <c r="F1528" s="137"/>
      <c r="G1528" s="137"/>
      <c r="H1528" s="137"/>
      <c r="I1528" s="137"/>
      <c r="J1528" s="137"/>
      <c r="K1528" s="137"/>
      <c r="L1528" s="137"/>
      <c r="M1528" s="137"/>
      <c r="N1528" s="137"/>
      <c r="O1528" s="137"/>
      <c r="P1528" s="137"/>
      <c r="Q1528" s="137"/>
      <c r="R1528" s="137"/>
      <c r="S1528" s="137"/>
      <c r="T1528" s="137"/>
      <c r="U1528" s="137"/>
      <c r="V1528" s="137"/>
      <c r="W1528" s="137"/>
    </row>
    <row r="1529" spans="1:23" x14ac:dyDescent="0.25">
      <c r="A1529" s="137"/>
      <c r="B1529" s="137"/>
      <c r="C1529" s="137"/>
      <c r="D1529" s="137"/>
      <c r="E1529" s="137"/>
      <c r="F1529" s="137"/>
      <c r="G1529" s="137"/>
      <c r="H1529" s="137"/>
      <c r="I1529" s="137"/>
      <c r="J1529" s="137"/>
      <c r="K1529" s="137"/>
      <c r="L1529" s="137"/>
      <c r="M1529" s="137"/>
      <c r="N1529" s="137"/>
      <c r="O1529" s="137"/>
      <c r="P1529" s="137"/>
      <c r="Q1529" s="137"/>
      <c r="R1529" s="137"/>
      <c r="S1529" s="137"/>
      <c r="T1529" s="137"/>
      <c r="U1529" s="137"/>
      <c r="V1529" s="137"/>
      <c r="W1529" s="137"/>
    </row>
    <row r="1530" spans="1:23" x14ac:dyDescent="0.25">
      <c r="A1530" s="137"/>
      <c r="B1530" s="137"/>
      <c r="C1530" s="137"/>
      <c r="D1530" s="137"/>
      <c r="E1530" s="137"/>
      <c r="F1530" s="137"/>
      <c r="G1530" s="137"/>
      <c r="H1530" s="137"/>
      <c r="I1530" s="137"/>
      <c r="J1530" s="137"/>
      <c r="K1530" s="137"/>
      <c r="L1530" s="137"/>
      <c r="M1530" s="137"/>
      <c r="N1530" s="137"/>
      <c r="O1530" s="137"/>
      <c r="P1530" s="137"/>
      <c r="Q1530" s="137"/>
      <c r="R1530" s="137"/>
      <c r="S1530" s="137"/>
      <c r="T1530" s="137"/>
      <c r="U1530" s="137"/>
      <c r="V1530" s="137"/>
      <c r="W1530" s="137"/>
    </row>
    <row r="1531" spans="1:23" x14ac:dyDescent="0.25">
      <c r="A1531" s="137"/>
      <c r="B1531" s="137"/>
      <c r="C1531" s="137"/>
      <c r="D1531" s="137"/>
      <c r="E1531" s="137"/>
      <c r="F1531" s="137"/>
      <c r="G1531" s="137"/>
      <c r="H1531" s="137"/>
      <c r="I1531" s="137"/>
      <c r="J1531" s="137"/>
      <c r="K1531" s="137"/>
      <c r="L1531" s="137"/>
      <c r="M1531" s="137"/>
      <c r="N1531" s="137"/>
      <c r="O1531" s="137"/>
      <c r="P1531" s="137"/>
      <c r="Q1531" s="137"/>
      <c r="R1531" s="137"/>
      <c r="S1531" s="137"/>
      <c r="T1531" s="137"/>
      <c r="U1531" s="137"/>
      <c r="V1531" s="137"/>
      <c r="W1531" s="137"/>
    </row>
    <row r="1532" spans="1:23" x14ac:dyDescent="0.25">
      <c r="A1532" s="137"/>
      <c r="B1532" s="137"/>
      <c r="C1532" s="137"/>
      <c r="D1532" s="137"/>
      <c r="E1532" s="137"/>
      <c r="F1532" s="137"/>
      <c r="G1532" s="137"/>
      <c r="H1532" s="137"/>
      <c r="I1532" s="137"/>
      <c r="J1532" s="137"/>
      <c r="K1532" s="137"/>
      <c r="L1532" s="137"/>
      <c r="M1532" s="137"/>
      <c r="N1532" s="137"/>
      <c r="O1532" s="137"/>
      <c r="P1532" s="137"/>
      <c r="Q1532" s="137"/>
      <c r="R1532" s="137"/>
      <c r="S1532" s="137"/>
      <c r="T1532" s="137"/>
      <c r="U1532" s="137"/>
      <c r="V1532" s="137"/>
      <c r="W1532" s="137"/>
    </row>
    <row r="1533" spans="1:23" x14ac:dyDescent="0.25">
      <c r="A1533" s="137"/>
      <c r="B1533" s="137"/>
      <c r="C1533" s="137"/>
      <c r="D1533" s="137"/>
      <c r="E1533" s="137"/>
      <c r="F1533" s="137"/>
      <c r="G1533" s="137"/>
      <c r="H1533" s="137"/>
      <c r="I1533" s="137"/>
      <c r="J1533" s="137"/>
      <c r="K1533" s="137"/>
      <c r="L1533" s="137"/>
      <c r="M1533" s="137"/>
      <c r="N1533" s="137"/>
      <c r="O1533" s="137"/>
      <c r="P1533" s="137"/>
      <c r="Q1533" s="137"/>
      <c r="R1533" s="137"/>
      <c r="S1533" s="137"/>
      <c r="T1533" s="137"/>
      <c r="U1533" s="137"/>
      <c r="V1533" s="137"/>
      <c r="W1533" s="137"/>
    </row>
    <row r="1534" spans="1:23" x14ac:dyDescent="0.25">
      <c r="A1534" s="137"/>
      <c r="B1534" s="137"/>
      <c r="C1534" s="137"/>
      <c r="D1534" s="137"/>
      <c r="E1534" s="137"/>
      <c r="F1534" s="137"/>
      <c r="G1534" s="137"/>
      <c r="H1534" s="137"/>
      <c r="I1534" s="137"/>
      <c r="J1534" s="137"/>
      <c r="K1534" s="137"/>
      <c r="L1534" s="137"/>
      <c r="M1534" s="137"/>
      <c r="N1534" s="137"/>
      <c r="O1534" s="137"/>
      <c r="P1534" s="137"/>
      <c r="Q1534" s="137"/>
      <c r="R1534" s="137"/>
      <c r="S1534" s="137"/>
      <c r="T1534" s="137"/>
      <c r="U1534" s="137"/>
      <c r="V1534" s="137"/>
      <c r="W1534" s="137"/>
    </row>
    <row r="1535" spans="1:23" x14ac:dyDescent="0.25">
      <c r="A1535" s="137"/>
      <c r="B1535" s="137"/>
      <c r="C1535" s="137"/>
      <c r="D1535" s="137"/>
      <c r="E1535" s="137"/>
      <c r="F1535" s="137"/>
      <c r="G1535" s="137"/>
      <c r="H1535" s="137"/>
      <c r="I1535" s="137"/>
      <c r="J1535" s="137"/>
      <c r="K1535" s="137"/>
      <c r="L1535" s="137"/>
      <c r="M1535" s="137"/>
      <c r="N1535" s="137"/>
      <c r="O1535" s="137"/>
      <c r="P1535" s="137"/>
      <c r="Q1535" s="137"/>
      <c r="R1535" s="137"/>
      <c r="S1535" s="137"/>
      <c r="T1535" s="137"/>
      <c r="U1535" s="137"/>
      <c r="V1535" s="137"/>
      <c r="W1535" s="137"/>
    </row>
    <row r="1536" spans="1:23" x14ac:dyDescent="0.25">
      <c r="A1536" s="137"/>
      <c r="B1536" s="137"/>
      <c r="C1536" s="137"/>
      <c r="D1536" s="137"/>
      <c r="E1536" s="137"/>
      <c r="F1536" s="137"/>
      <c r="G1536" s="137"/>
      <c r="H1536" s="137"/>
      <c r="I1536" s="137"/>
      <c r="J1536" s="137"/>
      <c r="K1536" s="137"/>
      <c r="L1536" s="137"/>
      <c r="M1536" s="137"/>
      <c r="N1536" s="137"/>
      <c r="O1536" s="137"/>
      <c r="P1536" s="137"/>
      <c r="Q1536" s="137"/>
      <c r="R1536" s="137"/>
      <c r="S1536" s="137"/>
      <c r="T1536" s="137"/>
      <c r="U1536" s="137"/>
      <c r="V1536" s="137"/>
      <c r="W1536" s="137"/>
    </row>
    <row r="1537" spans="1:23" x14ac:dyDescent="0.25">
      <c r="A1537" s="137"/>
      <c r="B1537" s="137"/>
      <c r="C1537" s="137"/>
      <c r="D1537" s="137"/>
      <c r="E1537" s="137"/>
      <c r="F1537" s="137"/>
      <c r="G1537" s="137"/>
      <c r="H1537" s="137"/>
      <c r="I1537" s="137"/>
      <c r="J1537" s="137"/>
      <c r="K1537" s="137"/>
      <c r="L1537" s="137"/>
      <c r="M1537" s="137"/>
      <c r="N1537" s="137"/>
      <c r="O1537" s="137"/>
      <c r="P1537" s="137"/>
      <c r="Q1537" s="137"/>
      <c r="R1537" s="137"/>
      <c r="S1537" s="137"/>
      <c r="T1537" s="137"/>
      <c r="U1537" s="137"/>
      <c r="V1537" s="137"/>
      <c r="W1537" s="137"/>
    </row>
    <row r="1538" spans="1:23" x14ac:dyDescent="0.25">
      <c r="A1538" s="137"/>
      <c r="B1538" s="137"/>
      <c r="C1538" s="137"/>
      <c r="D1538" s="137"/>
      <c r="E1538" s="137"/>
      <c r="F1538" s="137"/>
      <c r="G1538" s="137"/>
      <c r="H1538" s="137"/>
      <c r="I1538" s="137"/>
      <c r="J1538" s="137"/>
      <c r="K1538" s="137"/>
      <c r="L1538" s="137"/>
      <c r="M1538" s="137"/>
      <c r="N1538" s="137"/>
      <c r="O1538" s="137"/>
      <c r="P1538" s="137"/>
      <c r="Q1538" s="137"/>
      <c r="R1538" s="137"/>
      <c r="S1538" s="137"/>
      <c r="T1538" s="137"/>
      <c r="U1538" s="137"/>
      <c r="V1538" s="137"/>
      <c r="W1538" s="137"/>
    </row>
    <row r="1539" spans="1:23" x14ac:dyDescent="0.25">
      <c r="A1539" s="137"/>
      <c r="B1539" s="137"/>
      <c r="C1539" s="137"/>
      <c r="D1539" s="137"/>
      <c r="E1539" s="137"/>
      <c r="F1539" s="137"/>
      <c r="G1539" s="137"/>
      <c r="H1539" s="137"/>
      <c r="I1539" s="137"/>
      <c r="J1539" s="137"/>
      <c r="K1539" s="137"/>
      <c r="L1539" s="137"/>
      <c r="M1539" s="137"/>
      <c r="N1539" s="137"/>
      <c r="O1539" s="137"/>
      <c r="P1539" s="137"/>
      <c r="Q1539" s="137"/>
      <c r="R1539" s="137"/>
      <c r="S1539" s="137"/>
      <c r="T1539" s="137"/>
      <c r="U1539" s="137"/>
      <c r="V1539" s="137"/>
      <c r="W1539" s="137"/>
    </row>
    <row r="1540" spans="1:23" x14ac:dyDescent="0.25">
      <c r="A1540" s="137"/>
      <c r="B1540" s="137"/>
      <c r="C1540" s="137"/>
      <c r="D1540" s="137"/>
      <c r="E1540" s="137"/>
      <c r="F1540" s="137"/>
      <c r="G1540" s="137"/>
      <c r="H1540" s="137"/>
      <c r="I1540" s="137"/>
      <c r="J1540" s="137"/>
      <c r="K1540" s="137"/>
      <c r="L1540" s="137"/>
      <c r="M1540" s="137"/>
      <c r="N1540" s="137"/>
      <c r="O1540" s="137"/>
      <c r="P1540" s="137"/>
      <c r="Q1540" s="137"/>
      <c r="R1540" s="137"/>
      <c r="S1540" s="137"/>
      <c r="T1540" s="137"/>
      <c r="U1540" s="137"/>
      <c r="V1540" s="137"/>
      <c r="W1540" s="137"/>
    </row>
    <row r="1541" spans="1:23" x14ac:dyDescent="0.25">
      <c r="A1541" s="137"/>
      <c r="B1541" s="137"/>
      <c r="C1541" s="137"/>
      <c r="D1541" s="137"/>
      <c r="E1541" s="137"/>
      <c r="F1541" s="137"/>
      <c r="G1541" s="137"/>
      <c r="H1541" s="137"/>
      <c r="I1541" s="137"/>
      <c r="J1541" s="137"/>
      <c r="K1541" s="137"/>
      <c r="L1541" s="137"/>
      <c r="M1541" s="137"/>
      <c r="N1541" s="137"/>
      <c r="O1541" s="137"/>
      <c r="P1541" s="137"/>
      <c r="Q1541" s="137"/>
      <c r="R1541" s="137"/>
      <c r="S1541" s="137"/>
      <c r="T1541" s="137"/>
      <c r="U1541" s="137"/>
      <c r="V1541" s="137"/>
      <c r="W1541" s="137"/>
    </row>
    <row r="1542" spans="1:23" x14ac:dyDescent="0.25">
      <c r="A1542" s="137"/>
      <c r="B1542" s="137"/>
      <c r="C1542" s="137"/>
      <c r="D1542" s="137"/>
      <c r="E1542" s="137"/>
      <c r="F1542" s="137"/>
      <c r="G1542" s="137"/>
      <c r="H1542" s="137"/>
      <c r="I1542" s="137"/>
      <c r="J1542" s="137"/>
      <c r="K1542" s="137"/>
      <c r="L1542" s="137"/>
      <c r="M1542" s="137"/>
      <c r="N1542" s="137"/>
      <c r="O1542" s="137"/>
      <c r="P1542" s="137"/>
      <c r="Q1542" s="137"/>
      <c r="R1542" s="137"/>
      <c r="S1542" s="137"/>
      <c r="T1542" s="137"/>
      <c r="U1542" s="137"/>
      <c r="V1542" s="137"/>
      <c r="W1542" s="137"/>
    </row>
    <row r="1543" spans="1:23" x14ac:dyDescent="0.25">
      <c r="A1543" s="137"/>
      <c r="B1543" s="137"/>
      <c r="C1543" s="137"/>
      <c r="D1543" s="137"/>
      <c r="E1543" s="137"/>
      <c r="F1543" s="137"/>
      <c r="G1543" s="137"/>
      <c r="H1543" s="137"/>
      <c r="I1543" s="137"/>
      <c r="J1543" s="137"/>
      <c r="K1543" s="137"/>
      <c r="L1543" s="137"/>
      <c r="M1543" s="137"/>
      <c r="N1543" s="137"/>
      <c r="O1543" s="137"/>
      <c r="P1543" s="137"/>
      <c r="Q1543" s="137"/>
      <c r="R1543" s="137"/>
      <c r="S1543" s="137"/>
      <c r="T1543" s="137"/>
      <c r="U1543" s="137"/>
      <c r="V1543" s="137"/>
      <c r="W1543" s="137"/>
    </row>
    <row r="1544" spans="1:23" x14ac:dyDescent="0.25">
      <c r="A1544" s="137"/>
      <c r="B1544" s="137"/>
      <c r="C1544" s="137"/>
      <c r="D1544" s="137"/>
      <c r="E1544" s="137"/>
      <c r="F1544" s="137"/>
      <c r="G1544" s="137"/>
      <c r="H1544" s="137"/>
      <c r="I1544" s="137"/>
      <c r="J1544" s="137"/>
      <c r="K1544" s="137"/>
      <c r="L1544" s="137"/>
      <c r="M1544" s="137"/>
      <c r="N1544" s="137"/>
      <c r="O1544" s="137"/>
      <c r="P1544" s="137"/>
      <c r="Q1544" s="137"/>
      <c r="R1544" s="137"/>
      <c r="S1544" s="137"/>
      <c r="T1544" s="137"/>
      <c r="U1544" s="137"/>
      <c r="V1544" s="137"/>
      <c r="W1544" s="137"/>
    </row>
    <row r="1545" spans="1:23" x14ac:dyDescent="0.25">
      <c r="A1545" s="137"/>
      <c r="B1545" s="137"/>
      <c r="C1545" s="137"/>
      <c r="D1545" s="137"/>
      <c r="E1545" s="137"/>
      <c r="F1545" s="137"/>
      <c r="G1545" s="137"/>
      <c r="H1545" s="137"/>
      <c r="I1545" s="137"/>
      <c r="J1545" s="137"/>
      <c r="K1545" s="137"/>
      <c r="L1545" s="137"/>
      <c r="M1545" s="137"/>
      <c r="N1545" s="137"/>
      <c r="O1545" s="137"/>
      <c r="P1545" s="137"/>
      <c r="Q1545" s="137"/>
      <c r="R1545" s="137"/>
      <c r="S1545" s="137"/>
      <c r="T1545" s="137"/>
      <c r="U1545" s="137"/>
      <c r="V1545" s="137"/>
      <c r="W1545" s="137"/>
    </row>
    <row r="1546" spans="1:23" x14ac:dyDescent="0.25">
      <c r="A1546" s="137"/>
      <c r="B1546" s="137"/>
      <c r="C1546" s="137"/>
      <c r="D1546" s="137"/>
      <c r="E1546" s="137"/>
      <c r="F1546" s="137"/>
      <c r="G1546" s="137"/>
      <c r="H1546" s="137"/>
      <c r="I1546" s="137"/>
      <c r="J1546" s="137"/>
      <c r="K1546" s="137"/>
      <c r="L1546" s="137"/>
      <c r="M1546" s="137"/>
      <c r="N1546" s="137"/>
      <c r="O1546" s="137"/>
      <c r="P1546" s="137"/>
      <c r="Q1546" s="137"/>
      <c r="R1546" s="137"/>
      <c r="S1546" s="137"/>
      <c r="T1546" s="137"/>
      <c r="U1546" s="137"/>
      <c r="V1546" s="137"/>
      <c r="W1546" s="137"/>
    </row>
    <row r="1547" spans="1:23" x14ac:dyDescent="0.25">
      <c r="A1547" s="137"/>
      <c r="B1547" s="137"/>
      <c r="C1547" s="137"/>
      <c r="D1547" s="137"/>
      <c r="E1547" s="137"/>
      <c r="F1547" s="137"/>
      <c r="G1547" s="137"/>
      <c r="H1547" s="137"/>
      <c r="I1547" s="137"/>
      <c r="J1547" s="137"/>
      <c r="K1547" s="137"/>
      <c r="L1547" s="137"/>
      <c r="M1547" s="137"/>
      <c r="N1547" s="137"/>
      <c r="O1547" s="137"/>
      <c r="P1547" s="137"/>
      <c r="Q1547" s="137"/>
      <c r="R1547" s="137"/>
      <c r="S1547" s="137"/>
      <c r="T1547" s="137"/>
      <c r="U1547" s="137"/>
      <c r="V1547" s="137"/>
      <c r="W1547" s="137"/>
    </row>
    <row r="1548" spans="1:23" x14ac:dyDescent="0.25">
      <c r="A1548" s="137"/>
      <c r="B1548" s="137"/>
      <c r="C1548" s="137"/>
      <c r="D1548" s="137"/>
      <c r="E1548" s="137"/>
      <c r="F1548" s="137"/>
      <c r="G1548" s="137"/>
      <c r="H1548" s="137"/>
      <c r="I1548" s="137"/>
      <c r="J1548" s="137"/>
      <c r="K1548" s="137"/>
      <c r="L1548" s="137"/>
      <c r="M1548" s="137"/>
      <c r="N1548" s="137"/>
      <c r="O1548" s="137"/>
      <c r="P1548" s="137"/>
      <c r="Q1548" s="137"/>
      <c r="R1548" s="137"/>
      <c r="S1548" s="137"/>
      <c r="T1548" s="137"/>
      <c r="U1548" s="137"/>
      <c r="V1548" s="137"/>
      <c r="W1548" s="137"/>
    </row>
    <row r="1549" spans="1:23" x14ac:dyDescent="0.25">
      <c r="A1549" s="137"/>
      <c r="B1549" s="137"/>
      <c r="C1549" s="137"/>
      <c r="D1549" s="137"/>
      <c r="E1549" s="137"/>
      <c r="F1549" s="137"/>
      <c r="G1549" s="137"/>
      <c r="H1549" s="137"/>
      <c r="I1549" s="137"/>
      <c r="J1549" s="137"/>
      <c r="K1549" s="137"/>
      <c r="L1549" s="137"/>
      <c r="M1549" s="137"/>
      <c r="N1549" s="137"/>
      <c r="O1549" s="137"/>
      <c r="P1549" s="137"/>
      <c r="Q1549" s="137"/>
      <c r="R1549" s="137"/>
      <c r="S1549" s="137"/>
      <c r="T1549" s="137"/>
      <c r="U1549" s="137"/>
      <c r="V1549" s="137"/>
      <c r="W1549" s="137"/>
    </row>
    <row r="1550" spans="1:23" x14ac:dyDescent="0.25">
      <c r="A1550" s="137"/>
      <c r="B1550" s="137"/>
      <c r="C1550" s="137"/>
      <c r="D1550" s="137"/>
      <c r="E1550" s="137"/>
      <c r="F1550" s="137"/>
      <c r="G1550" s="137"/>
      <c r="H1550" s="137"/>
      <c r="I1550" s="137"/>
      <c r="J1550" s="137"/>
      <c r="K1550" s="137"/>
      <c r="L1550" s="137"/>
      <c r="M1550" s="137"/>
      <c r="N1550" s="137"/>
      <c r="O1550" s="137"/>
      <c r="P1550" s="137"/>
      <c r="Q1550" s="137"/>
      <c r="R1550" s="137"/>
      <c r="S1550" s="137"/>
      <c r="T1550" s="137"/>
      <c r="U1550" s="137"/>
      <c r="V1550" s="137"/>
      <c r="W1550" s="137"/>
    </row>
    <row r="1551" spans="1:23" x14ac:dyDescent="0.25">
      <c r="A1551" s="137"/>
      <c r="B1551" s="137"/>
      <c r="C1551" s="137"/>
      <c r="D1551" s="137"/>
      <c r="E1551" s="137"/>
      <c r="F1551" s="137"/>
      <c r="G1551" s="137"/>
      <c r="H1551" s="137"/>
      <c r="I1551" s="137"/>
      <c r="J1551" s="137"/>
      <c r="K1551" s="137"/>
      <c r="L1551" s="137"/>
      <c r="M1551" s="137"/>
      <c r="N1551" s="137"/>
      <c r="O1551" s="137"/>
      <c r="P1551" s="137"/>
      <c r="Q1551" s="137"/>
      <c r="R1551" s="137"/>
      <c r="S1551" s="137"/>
      <c r="T1551" s="137"/>
      <c r="U1551" s="137"/>
      <c r="V1551" s="137"/>
      <c r="W1551" s="137"/>
    </row>
    <row r="1552" spans="1:23" x14ac:dyDescent="0.25">
      <c r="A1552" s="137"/>
      <c r="B1552" s="137"/>
      <c r="C1552" s="137"/>
      <c r="D1552" s="137"/>
      <c r="E1552" s="137"/>
      <c r="F1552" s="137"/>
      <c r="G1552" s="137"/>
      <c r="H1552" s="137"/>
      <c r="I1552" s="137"/>
      <c r="J1552" s="137"/>
      <c r="K1552" s="137"/>
      <c r="L1552" s="137"/>
      <c r="M1552" s="137"/>
      <c r="N1552" s="137"/>
      <c r="O1552" s="137"/>
      <c r="P1552" s="137"/>
      <c r="Q1552" s="137"/>
      <c r="R1552" s="137"/>
      <c r="S1552" s="137"/>
      <c r="T1552" s="137"/>
      <c r="U1552" s="137"/>
      <c r="V1552" s="137"/>
      <c r="W1552" s="137"/>
    </row>
    <row r="1553" spans="1:23" x14ac:dyDescent="0.25">
      <c r="A1553" s="137"/>
      <c r="B1553" s="137"/>
      <c r="C1553" s="137"/>
      <c r="D1553" s="137"/>
      <c r="E1553" s="137"/>
      <c r="F1553" s="137"/>
      <c r="G1553" s="137"/>
      <c r="H1553" s="137"/>
      <c r="I1553" s="137"/>
      <c r="J1553" s="137"/>
      <c r="K1553" s="137"/>
      <c r="L1553" s="137"/>
      <c r="M1553" s="137"/>
      <c r="N1553" s="137"/>
      <c r="O1553" s="137"/>
      <c r="P1553" s="137"/>
      <c r="Q1553" s="137"/>
      <c r="R1553" s="137"/>
      <c r="S1553" s="137"/>
      <c r="T1553" s="137"/>
      <c r="U1553" s="137"/>
      <c r="V1553" s="137"/>
      <c r="W1553" s="137"/>
    </row>
    <row r="1554" spans="1:23" x14ac:dyDescent="0.25">
      <c r="A1554" s="137"/>
      <c r="B1554" s="137"/>
      <c r="C1554" s="137"/>
      <c r="D1554" s="137"/>
      <c r="E1554" s="137"/>
      <c r="F1554" s="137"/>
      <c r="G1554" s="137"/>
      <c r="H1554" s="137"/>
      <c r="I1554" s="137"/>
      <c r="J1554" s="137"/>
      <c r="K1554" s="137"/>
      <c r="L1554" s="137"/>
      <c r="M1554" s="137"/>
      <c r="N1554" s="137"/>
      <c r="O1554" s="137"/>
      <c r="P1554" s="137"/>
      <c r="Q1554" s="137"/>
      <c r="R1554" s="137"/>
      <c r="S1554" s="137"/>
      <c r="T1554" s="137"/>
      <c r="U1554" s="137"/>
      <c r="V1554" s="137"/>
      <c r="W1554" s="137"/>
    </row>
    <row r="1555" spans="1:23" x14ac:dyDescent="0.25">
      <c r="A1555" s="137"/>
      <c r="B1555" s="137"/>
      <c r="C1555" s="137"/>
      <c r="D1555" s="137"/>
      <c r="E1555" s="137"/>
      <c r="F1555" s="137"/>
      <c r="G1555" s="137"/>
      <c r="H1555" s="137"/>
      <c r="I1555" s="137"/>
      <c r="J1555" s="137"/>
      <c r="K1555" s="137"/>
      <c r="L1555" s="137"/>
      <c r="M1555" s="137"/>
      <c r="N1555" s="137"/>
      <c r="O1555" s="137"/>
      <c r="P1555" s="137"/>
      <c r="Q1555" s="137"/>
      <c r="R1555" s="137"/>
      <c r="S1555" s="137"/>
      <c r="T1555" s="137"/>
      <c r="U1555" s="137"/>
      <c r="V1555" s="137"/>
      <c r="W1555" s="137"/>
    </row>
    <row r="1556" spans="1:23" x14ac:dyDescent="0.25">
      <c r="A1556" s="137"/>
      <c r="B1556" s="137"/>
      <c r="C1556" s="137"/>
      <c r="D1556" s="137"/>
      <c r="E1556" s="137"/>
      <c r="F1556" s="137"/>
      <c r="G1556" s="137"/>
      <c r="H1556" s="137"/>
      <c r="I1556" s="137"/>
      <c r="J1556" s="137"/>
      <c r="K1556" s="137"/>
      <c r="L1556" s="137"/>
      <c r="M1556" s="137"/>
      <c r="N1556" s="137"/>
      <c r="O1556" s="137"/>
      <c r="P1556" s="137"/>
      <c r="Q1556" s="137"/>
      <c r="R1556" s="137"/>
      <c r="S1556" s="137"/>
      <c r="T1556" s="137"/>
      <c r="U1556" s="137"/>
      <c r="V1556" s="137"/>
      <c r="W1556" s="137"/>
    </row>
    <row r="1557" spans="1:23" x14ac:dyDescent="0.25">
      <c r="A1557" s="137"/>
      <c r="B1557" s="137"/>
      <c r="C1557" s="137"/>
      <c r="D1557" s="137"/>
      <c r="E1557" s="137"/>
      <c r="F1557" s="137"/>
      <c r="G1557" s="137"/>
      <c r="H1557" s="137"/>
      <c r="I1557" s="137"/>
      <c r="J1557" s="137"/>
      <c r="K1557" s="137"/>
      <c r="L1557" s="137"/>
      <c r="M1557" s="137"/>
      <c r="N1557" s="137"/>
      <c r="O1557" s="137"/>
      <c r="P1557" s="137"/>
      <c r="Q1557" s="137"/>
      <c r="R1557" s="137"/>
      <c r="S1557" s="137"/>
      <c r="T1557" s="137"/>
      <c r="U1557" s="137"/>
      <c r="V1557" s="137"/>
      <c r="W1557" s="137"/>
    </row>
    <row r="1558" spans="1:23" x14ac:dyDescent="0.25">
      <c r="A1558" s="137"/>
      <c r="B1558" s="137"/>
      <c r="C1558" s="137"/>
      <c r="D1558" s="137"/>
      <c r="E1558" s="137"/>
      <c r="F1558" s="137"/>
      <c r="G1558" s="137"/>
      <c r="H1558" s="137"/>
      <c r="I1558" s="137"/>
      <c r="J1558" s="137"/>
      <c r="K1558" s="137"/>
      <c r="L1558" s="137"/>
      <c r="M1558" s="137"/>
      <c r="N1558" s="137"/>
      <c r="O1558" s="137"/>
      <c r="P1558" s="137"/>
      <c r="Q1558" s="137"/>
      <c r="R1558" s="137"/>
      <c r="S1558" s="137"/>
      <c r="T1558" s="137"/>
      <c r="U1558" s="137"/>
      <c r="V1558" s="137"/>
      <c r="W1558" s="137"/>
    </row>
    <row r="1559" spans="1:23" x14ac:dyDescent="0.25">
      <c r="A1559" s="137"/>
      <c r="B1559" s="137"/>
      <c r="C1559" s="137"/>
      <c r="D1559" s="137"/>
      <c r="E1559" s="137"/>
      <c r="F1559" s="137"/>
      <c r="G1559" s="137"/>
      <c r="H1559" s="137"/>
      <c r="I1559" s="137"/>
      <c r="J1559" s="137"/>
      <c r="K1559" s="137"/>
      <c r="L1559" s="137"/>
      <c r="M1559" s="137"/>
      <c r="N1559" s="137"/>
      <c r="O1559" s="137"/>
      <c r="P1559" s="137"/>
      <c r="Q1559" s="137"/>
      <c r="R1559" s="137"/>
      <c r="S1559" s="137"/>
      <c r="T1559" s="137"/>
      <c r="U1559" s="137"/>
      <c r="V1559" s="137"/>
      <c r="W1559" s="137"/>
    </row>
    <row r="1560" spans="1:23" x14ac:dyDescent="0.25">
      <c r="A1560" s="137"/>
      <c r="B1560" s="137"/>
      <c r="C1560" s="137"/>
      <c r="D1560" s="137"/>
      <c r="E1560" s="137"/>
      <c r="F1560" s="137"/>
      <c r="G1560" s="137"/>
      <c r="H1560" s="137"/>
      <c r="I1560" s="137"/>
      <c r="J1560" s="137"/>
      <c r="K1560" s="137"/>
      <c r="L1560" s="137"/>
      <c r="M1560" s="137"/>
      <c r="N1560" s="137"/>
      <c r="O1560" s="137"/>
      <c r="P1560" s="137"/>
      <c r="Q1560" s="137"/>
      <c r="R1560" s="137"/>
      <c r="S1560" s="137"/>
      <c r="T1560" s="137"/>
      <c r="U1560" s="137"/>
      <c r="V1560" s="137"/>
      <c r="W1560" s="137"/>
    </row>
    <row r="1561" spans="1:23" x14ac:dyDescent="0.25">
      <c r="A1561" s="137"/>
      <c r="B1561" s="137"/>
      <c r="C1561" s="137"/>
      <c r="D1561" s="137"/>
      <c r="E1561" s="137"/>
      <c r="F1561" s="137"/>
      <c r="G1561" s="137"/>
      <c r="H1561" s="137"/>
      <c r="I1561" s="137"/>
      <c r="J1561" s="137"/>
      <c r="K1561" s="137"/>
      <c r="L1561" s="137"/>
      <c r="M1561" s="137"/>
      <c r="N1561" s="137"/>
      <c r="O1561" s="137"/>
      <c r="P1561" s="137"/>
      <c r="Q1561" s="137"/>
      <c r="R1561" s="137"/>
      <c r="S1561" s="137"/>
      <c r="T1561" s="137"/>
      <c r="U1561" s="137"/>
      <c r="V1561" s="137"/>
      <c r="W1561" s="137"/>
    </row>
    <row r="1562" spans="1:23" x14ac:dyDescent="0.25">
      <c r="A1562" s="137"/>
      <c r="B1562" s="137"/>
      <c r="C1562" s="137"/>
      <c r="D1562" s="137"/>
      <c r="E1562" s="137"/>
      <c r="F1562" s="137"/>
      <c r="G1562" s="137"/>
      <c r="H1562" s="137"/>
      <c r="I1562" s="137"/>
      <c r="J1562" s="137"/>
      <c r="K1562" s="137"/>
      <c r="L1562" s="137"/>
      <c r="M1562" s="137"/>
      <c r="N1562" s="137"/>
      <c r="O1562" s="137"/>
      <c r="P1562" s="137"/>
      <c r="Q1562" s="137"/>
      <c r="R1562" s="137"/>
      <c r="S1562" s="137"/>
      <c r="T1562" s="137"/>
      <c r="U1562" s="137"/>
      <c r="V1562" s="137"/>
      <c r="W1562" s="137"/>
    </row>
    <row r="1563" spans="1:23" x14ac:dyDescent="0.25">
      <c r="A1563" s="137"/>
      <c r="B1563" s="137"/>
      <c r="C1563" s="137"/>
      <c r="D1563" s="137"/>
      <c r="E1563" s="137"/>
      <c r="F1563" s="137"/>
      <c r="G1563" s="137"/>
      <c r="H1563" s="137"/>
      <c r="I1563" s="137"/>
      <c r="J1563" s="137"/>
      <c r="K1563" s="137"/>
      <c r="L1563" s="137"/>
      <c r="M1563" s="137"/>
      <c r="N1563" s="137"/>
      <c r="O1563" s="137"/>
      <c r="P1563" s="137"/>
      <c r="Q1563" s="137"/>
      <c r="R1563" s="137"/>
      <c r="S1563" s="137"/>
      <c r="T1563" s="137"/>
      <c r="U1563" s="137"/>
      <c r="V1563" s="137"/>
      <c r="W1563" s="137"/>
    </row>
    <row r="1564" spans="1:23" x14ac:dyDescent="0.25">
      <c r="A1564" s="137"/>
      <c r="B1564" s="137"/>
      <c r="C1564" s="137"/>
      <c r="D1564" s="137"/>
      <c r="E1564" s="137"/>
      <c r="F1564" s="137"/>
      <c r="G1564" s="137"/>
      <c r="H1564" s="137"/>
      <c r="I1564" s="137"/>
      <c r="J1564" s="137"/>
      <c r="K1564" s="137"/>
      <c r="L1564" s="137"/>
      <c r="M1564" s="137"/>
      <c r="N1564" s="137"/>
      <c r="O1564" s="137"/>
      <c r="P1564" s="137"/>
      <c r="Q1564" s="137"/>
      <c r="R1564" s="137"/>
      <c r="S1564" s="137"/>
      <c r="T1564" s="137"/>
      <c r="U1564" s="137"/>
      <c r="V1564" s="137"/>
      <c r="W1564" s="137"/>
    </row>
    <row r="1565" spans="1:23" x14ac:dyDescent="0.25">
      <c r="A1565" s="137"/>
      <c r="B1565" s="137"/>
      <c r="C1565" s="137"/>
      <c r="D1565" s="137"/>
      <c r="E1565" s="137"/>
      <c r="F1565" s="137"/>
      <c r="G1565" s="137"/>
      <c r="H1565" s="137"/>
      <c r="I1565" s="137"/>
      <c r="J1565" s="137"/>
      <c r="K1565" s="137"/>
      <c r="L1565" s="137"/>
      <c r="M1565" s="137"/>
      <c r="N1565" s="137"/>
      <c r="O1565" s="137"/>
      <c r="P1565" s="137"/>
      <c r="Q1565" s="137"/>
      <c r="R1565" s="137"/>
      <c r="S1565" s="137"/>
      <c r="T1565" s="137"/>
      <c r="U1565" s="137"/>
      <c r="V1565" s="137"/>
      <c r="W1565" s="137"/>
    </row>
    <row r="1566" spans="1:23" x14ac:dyDescent="0.25">
      <c r="A1566" s="137"/>
      <c r="B1566" s="137"/>
      <c r="C1566" s="137"/>
      <c r="D1566" s="137"/>
      <c r="E1566" s="137"/>
      <c r="F1566" s="137"/>
      <c r="G1566" s="137"/>
      <c r="H1566" s="137"/>
      <c r="I1566" s="137"/>
      <c r="J1566" s="137"/>
      <c r="K1566" s="137"/>
      <c r="L1566" s="137"/>
      <c r="M1566" s="137"/>
      <c r="N1566" s="137"/>
      <c r="O1566" s="137"/>
      <c r="P1566" s="137"/>
      <c r="Q1566" s="137"/>
      <c r="R1566" s="137"/>
      <c r="S1566" s="137"/>
      <c r="T1566" s="137"/>
      <c r="U1566" s="137"/>
      <c r="V1566" s="137"/>
      <c r="W1566" s="137"/>
    </row>
    <row r="1567" spans="1:23" x14ac:dyDescent="0.25">
      <c r="A1567" s="137"/>
      <c r="B1567" s="137"/>
      <c r="C1567" s="137"/>
      <c r="D1567" s="137"/>
      <c r="E1567" s="137"/>
      <c r="F1567" s="137"/>
      <c r="G1567" s="137"/>
      <c r="H1567" s="137"/>
      <c r="I1567" s="137"/>
      <c r="J1567" s="137"/>
      <c r="K1567" s="137"/>
      <c r="L1567" s="137"/>
      <c r="M1567" s="137"/>
      <c r="N1567" s="137"/>
      <c r="O1567" s="137"/>
      <c r="P1567" s="137"/>
      <c r="Q1567" s="137"/>
      <c r="R1567" s="137"/>
      <c r="S1567" s="137"/>
      <c r="T1567" s="137"/>
      <c r="U1567" s="137"/>
      <c r="V1567" s="137"/>
      <c r="W1567" s="137"/>
    </row>
    <row r="1568" spans="1:23" x14ac:dyDescent="0.25">
      <c r="A1568" s="137"/>
      <c r="B1568" s="137"/>
      <c r="C1568" s="137"/>
      <c r="D1568" s="137"/>
      <c r="E1568" s="137"/>
      <c r="F1568" s="137"/>
      <c r="G1568" s="137"/>
      <c r="H1568" s="137"/>
      <c r="I1568" s="137"/>
      <c r="J1568" s="137"/>
      <c r="K1568" s="137"/>
      <c r="L1568" s="137"/>
      <c r="M1568" s="137"/>
      <c r="N1568" s="137"/>
      <c r="O1568" s="137"/>
      <c r="P1568" s="137"/>
      <c r="Q1568" s="137"/>
      <c r="R1568" s="137"/>
      <c r="S1568" s="137"/>
      <c r="T1568" s="137"/>
      <c r="U1568" s="137"/>
      <c r="V1568" s="137"/>
      <c r="W1568" s="137"/>
    </row>
    <row r="1569" spans="1:23" x14ac:dyDescent="0.25">
      <c r="A1569" s="137"/>
      <c r="B1569" s="137"/>
      <c r="C1569" s="137"/>
      <c r="D1569" s="137"/>
      <c r="E1569" s="137"/>
      <c r="F1569" s="137"/>
      <c r="G1569" s="137"/>
      <c r="H1569" s="137"/>
      <c r="I1569" s="137"/>
      <c r="J1569" s="137"/>
      <c r="K1569" s="137"/>
      <c r="L1569" s="137"/>
      <c r="M1569" s="137"/>
      <c r="N1569" s="137"/>
      <c r="O1569" s="137"/>
      <c r="P1569" s="137"/>
      <c r="Q1569" s="137"/>
      <c r="R1569" s="137"/>
      <c r="S1569" s="137"/>
      <c r="T1569" s="137"/>
      <c r="U1569" s="137"/>
      <c r="V1569" s="137"/>
      <c r="W1569" s="137"/>
    </row>
    <row r="1570" spans="1:23" x14ac:dyDescent="0.25">
      <c r="A1570" s="137"/>
      <c r="B1570" s="137"/>
      <c r="C1570" s="137"/>
      <c r="D1570" s="137"/>
      <c r="E1570" s="137"/>
      <c r="F1570" s="137"/>
      <c r="G1570" s="137"/>
      <c r="H1570" s="137"/>
      <c r="I1570" s="137"/>
      <c r="J1570" s="137"/>
      <c r="K1570" s="137"/>
      <c r="L1570" s="137"/>
      <c r="M1570" s="137"/>
      <c r="N1570" s="137"/>
      <c r="O1570" s="137"/>
      <c r="P1570" s="137"/>
      <c r="Q1570" s="137"/>
      <c r="R1570" s="137"/>
      <c r="S1570" s="137"/>
      <c r="T1570" s="137"/>
      <c r="U1570" s="137"/>
      <c r="V1570" s="137"/>
      <c r="W1570" s="137"/>
    </row>
    <row r="1571" spans="1:23" x14ac:dyDescent="0.25">
      <c r="A1571" s="137"/>
      <c r="B1571" s="137"/>
      <c r="C1571" s="137"/>
      <c r="D1571" s="137"/>
      <c r="E1571" s="137"/>
      <c r="F1571" s="137"/>
      <c r="G1571" s="137"/>
      <c r="H1571" s="137"/>
      <c r="I1571" s="137"/>
      <c r="J1571" s="137"/>
      <c r="K1571" s="137"/>
      <c r="L1571" s="137"/>
      <c r="M1571" s="137"/>
      <c r="N1571" s="137"/>
      <c r="O1571" s="137"/>
      <c r="P1571" s="137"/>
      <c r="Q1571" s="137"/>
      <c r="R1571" s="137"/>
      <c r="S1571" s="137"/>
      <c r="T1571" s="137"/>
      <c r="U1571" s="137"/>
      <c r="V1571" s="137"/>
      <c r="W1571" s="137"/>
    </row>
    <row r="1572" spans="1:23" x14ac:dyDescent="0.25">
      <c r="A1572" s="137"/>
      <c r="B1572" s="137"/>
      <c r="C1572" s="137"/>
      <c r="D1572" s="137"/>
      <c r="E1572" s="137"/>
      <c r="F1572" s="137"/>
      <c r="G1572" s="137"/>
      <c r="H1572" s="137"/>
      <c r="I1572" s="137"/>
      <c r="J1572" s="137"/>
      <c r="K1572" s="137"/>
      <c r="L1572" s="137"/>
      <c r="M1572" s="137"/>
      <c r="N1572" s="137"/>
      <c r="O1572" s="137"/>
      <c r="P1572" s="137"/>
      <c r="Q1572" s="137"/>
      <c r="R1572" s="137"/>
      <c r="S1572" s="137"/>
      <c r="T1572" s="137"/>
      <c r="U1572" s="137"/>
      <c r="V1572" s="137"/>
      <c r="W1572" s="137"/>
    </row>
    <row r="1573" spans="1:23" x14ac:dyDescent="0.25">
      <c r="A1573" s="137"/>
      <c r="B1573" s="137"/>
      <c r="C1573" s="137"/>
      <c r="D1573" s="137"/>
      <c r="E1573" s="137"/>
      <c r="F1573" s="137"/>
      <c r="G1573" s="137"/>
      <c r="H1573" s="137"/>
      <c r="I1573" s="137"/>
      <c r="J1573" s="137"/>
      <c r="K1573" s="137"/>
      <c r="L1573" s="137"/>
      <c r="M1573" s="137"/>
      <c r="N1573" s="137"/>
      <c r="O1573" s="137"/>
      <c r="P1573" s="137"/>
      <c r="Q1573" s="137"/>
      <c r="R1573" s="137"/>
      <c r="S1573" s="137"/>
      <c r="T1573" s="137"/>
      <c r="U1573" s="137"/>
      <c r="V1573" s="137"/>
      <c r="W1573" s="137"/>
    </row>
    <row r="1574" spans="1:23" x14ac:dyDescent="0.25">
      <c r="A1574" s="137"/>
      <c r="B1574" s="137"/>
      <c r="C1574" s="137"/>
      <c r="D1574" s="137"/>
      <c r="E1574" s="137"/>
      <c r="F1574" s="137"/>
      <c r="G1574" s="137"/>
      <c r="H1574" s="137"/>
      <c r="I1574" s="137"/>
      <c r="J1574" s="137"/>
      <c r="K1574" s="137"/>
      <c r="L1574" s="137"/>
      <c r="M1574" s="137"/>
      <c r="N1574" s="137"/>
      <c r="O1574" s="137"/>
      <c r="P1574" s="137"/>
      <c r="Q1574" s="137"/>
      <c r="R1574" s="137"/>
      <c r="S1574" s="137"/>
      <c r="T1574" s="137"/>
      <c r="U1574" s="137"/>
      <c r="V1574" s="137"/>
      <c r="W1574" s="137"/>
    </row>
    <row r="1575" spans="1:23" x14ac:dyDescent="0.25">
      <c r="A1575" s="137"/>
      <c r="B1575" s="137"/>
      <c r="C1575" s="137"/>
      <c r="D1575" s="137"/>
      <c r="E1575" s="137"/>
      <c r="F1575" s="137"/>
      <c r="G1575" s="137"/>
      <c r="H1575" s="137"/>
      <c r="I1575" s="137"/>
      <c r="J1575" s="137"/>
      <c r="K1575" s="137"/>
      <c r="L1575" s="137"/>
      <c r="M1575" s="137"/>
      <c r="N1575" s="137"/>
      <c r="O1575" s="137"/>
      <c r="P1575" s="137"/>
      <c r="Q1575" s="137"/>
      <c r="R1575" s="137"/>
      <c r="S1575" s="137"/>
      <c r="T1575" s="137"/>
      <c r="U1575" s="137"/>
      <c r="V1575" s="137"/>
      <c r="W1575" s="137"/>
    </row>
    <row r="1576" spans="1:23" x14ac:dyDescent="0.25">
      <c r="A1576" s="137"/>
      <c r="B1576" s="137"/>
      <c r="C1576" s="137"/>
      <c r="D1576" s="137"/>
      <c r="E1576" s="137"/>
      <c r="F1576" s="137"/>
      <c r="G1576" s="137"/>
      <c r="H1576" s="137"/>
      <c r="I1576" s="137"/>
      <c r="J1576" s="137"/>
      <c r="K1576" s="137"/>
      <c r="L1576" s="137"/>
      <c r="M1576" s="137"/>
      <c r="N1576" s="137"/>
      <c r="O1576" s="137"/>
      <c r="P1576" s="137"/>
      <c r="Q1576" s="137"/>
      <c r="R1576" s="137"/>
      <c r="S1576" s="137"/>
      <c r="T1576" s="137"/>
      <c r="U1576" s="137"/>
      <c r="V1576" s="137"/>
      <c r="W1576" s="137"/>
    </row>
    <row r="1577" spans="1:23" x14ac:dyDescent="0.25">
      <c r="A1577" s="137"/>
      <c r="B1577" s="137"/>
      <c r="C1577" s="137"/>
      <c r="D1577" s="137"/>
      <c r="E1577" s="137"/>
      <c r="F1577" s="137"/>
      <c r="G1577" s="137"/>
      <c r="H1577" s="137"/>
      <c r="I1577" s="137"/>
      <c r="J1577" s="137"/>
      <c r="K1577" s="137"/>
      <c r="L1577" s="137"/>
      <c r="M1577" s="137"/>
      <c r="N1577" s="137"/>
      <c r="O1577" s="137"/>
      <c r="P1577" s="137"/>
      <c r="Q1577" s="137"/>
      <c r="R1577" s="137"/>
      <c r="S1577" s="137"/>
      <c r="T1577" s="137"/>
      <c r="U1577" s="137"/>
      <c r="V1577" s="137"/>
      <c r="W1577" s="137"/>
    </row>
    <row r="1578" spans="1:23" x14ac:dyDescent="0.25">
      <c r="A1578" s="137"/>
      <c r="B1578" s="137"/>
      <c r="C1578" s="137"/>
      <c r="D1578" s="137"/>
      <c r="E1578" s="137"/>
      <c r="F1578" s="137"/>
      <c r="G1578" s="137"/>
      <c r="H1578" s="137"/>
      <c r="I1578" s="137"/>
      <c r="J1578" s="137"/>
      <c r="K1578" s="137"/>
      <c r="L1578" s="137"/>
      <c r="M1578" s="137"/>
      <c r="N1578" s="137"/>
      <c r="O1578" s="137"/>
      <c r="P1578" s="137"/>
      <c r="Q1578" s="137"/>
      <c r="R1578" s="137"/>
      <c r="S1578" s="137"/>
      <c r="T1578" s="137"/>
      <c r="U1578" s="137"/>
      <c r="V1578" s="137"/>
      <c r="W1578" s="137"/>
    </row>
    <row r="1579" spans="1:23" x14ac:dyDescent="0.25">
      <c r="A1579" s="137"/>
      <c r="B1579" s="137"/>
      <c r="C1579" s="137"/>
      <c r="D1579" s="137"/>
      <c r="E1579" s="137"/>
      <c r="F1579" s="137"/>
      <c r="G1579" s="137"/>
      <c r="H1579" s="137"/>
      <c r="I1579" s="137"/>
      <c r="J1579" s="137"/>
      <c r="K1579" s="137"/>
      <c r="L1579" s="137"/>
      <c r="M1579" s="137"/>
      <c r="N1579" s="137"/>
      <c r="O1579" s="137"/>
      <c r="P1579" s="137"/>
      <c r="Q1579" s="137"/>
      <c r="R1579" s="137"/>
      <c r="S1579" s="137"/>
      <c r="T1579" s="137"/>
      <c r="U1579" s="137"/>
      <c r="V1579" s="137"/>
      <c r="W1579" s="137"/>
    </row>
    <row r="1580" spans="1:23" x14ac:dyDescent="0.25">
      <c r="A1580" s="137"/>
      <c r="B1580" s="137"/>
      <c r="C1580" s="137"/>
      <c r="D1580" s="137"/>
      <c r="E1580" s="137"/>
      <c r="F1580" s="137"/>
      <c r="G1580" s="137"/>
      <c r="H1580" s="137"/>
      <c r="I1580" s="137"/>
      <c r="J1580" s="137"/>
      <c r="K1580" s="137"/>
      <c r="L1580" s="137"/>
      <c r="M1580" s="137"/>
      <c r="N1580" s="137"/>
      <c r="O1580" s="137"/>
      <c r="P1580" s="137"/>
      <c r="Q1580" s="137"/>
      <c r="R1580" s="137"/>
      <c r="S1580" s="137"/>
      <c r="T1580" s="137"/>
      <c r="U1580" s="137"/>
      <c r="V1580" s="137"/>
      <c r="W1580" s="137"/>
    </row>
    <row r="1581" spans="1:23" x14ac:dyDescent="0.25">
      <c r="A1581" s="137"/>
      <c r="B1581" s="137"/>
      <c r="C1581" s="137"/>
      <c r="D1581" s="137"/>
      <c r="E1581" s="137"/>
      <c r="F1581" s="137"/>
      <c r="G1581" s="137"/>
      <c r="H1581" s="137"/>
      <c r="I1581" s="137"/>
      <c r="J1581" s="137"/>
      <c r="K1581" s="137"/>
      <c r="L1581" s="137"/>
      <c r="M1581" s="137"/>
      <c r="N1581" s="137"/>
      <c r="O1581" s="137"/>
      <c r="P1581" s="137"/>
      <c r="Q1581" s="137"/>
      <c r="R1581" s="137"/>
      <c r="S1581" s="137"/>
      <c r="T1581" s="137"/>
      <c r="U1581" s="137"/>
      <c r="V1581" s="137"/>
      <c r="W1581" s="137"/>
    </row>
    <row r="1582" spans="1:23" x14ac:dyDescent="0.25">
      <c r="A1582" s="137"/>
      <c r="B1582" s="137"/>
      <c r="C1582" s="137"/>
      <c r="D1582" s="137"/>
      <c r="E1582" s="137"/>
      <c r="F1582" s="137"/>
      <c r="G1582" s="137"/>
      <c r="H1582" s="137"/>
      <c r="I1582" s="137"/>
      <c r="J1582" s="137"/>
      <c r="K1582" s="137"/>
      <c r="L1582" s="137"/>
      <c r="M1582" s="137"/>
      <c r="N1582" s="137"/>
      <c r="O1582" s="137"/>
      <c r="P1582" s="137"/>
      <c r="Q1582" s="137"/>
      <c r="R1582" s="137"/>
      <c r="S1582" s="137"/>
      <c r="T1582" s="137"/>
      <c r="U1582" s="137"/>
      <c r="V1582" s="137"/>
      <c r="W1582" s="137"/>
    </row>
    <row r="1583" spans="1:23" x14ac:dyDescent="0.25">
      <c r="A1583" s="137"/>
      <c r="B1583" s="137"/>
      <c r="C1583" s="137"/>
      <c r="D1583" s="137"/>
      <c r="E1583" s="137"/>
      <c r="F1583" s="137"/>
      <c r="G1583" s="137"/>
      <c r="H1583" s="137"/>
      <c r="I1583" s="137"/>
      <c r="J1583" s="137"/>
      <c r="K1583" s="137"/>
      <c r="L1583" s="137"/>
      <c r="M1583" s="137"/>
      <c r="N1583" s="137"/>
      <c r="O1583" s="137"/>
      <c r="P1583" s="137"/>
      <c r="Q1583" s="137"/>
      <c r="R1583" s="137"/>
      <c r="S1583" s="137"/>
      <c r="T1583" s="137"/>
      <c r="U1583" s="137"/>
      <c r="V1583" s="137"/>
      <c r="W1583" s="137"/>
    </row>
    <row r="1584" spans="1:23" x14ac:dyDescent="0.25">
      <c r="A1584" s="137"/>
      <c r="B1584" s="137"/>
      <c r="C1584" s="137"/>
      <c r="D1584" s="137"/>
      <c r="E1584" s="137"/>
      <c r="F1584" s="137"/>
      <c r="G1584" s="137"/>
      <c r="H1584" s="137"/>
      <c r="I1584" s="137"/>
      <c r="J1584" s="137"/>
      <c r="K1584" s="137"/>
      <c r="L1584" s="137"/>
      <c r="M1584" s="137"/>
      <c r="N1584" s="137"/>
      <c r="O1584" s="137"/>
      <c r="P1584" s="137"/>
      <c r="Q1584" s="137"/>
      <c r="R1584" s="137"/>
      <c r="S1584" s="137"/>
      <c r="T1584" s="137"/>
      <c r="U1584" s="137"/>
      <c r="V1584" s="137"/>
      <c r="W1584" s="137"/>
    </row>
    <row r="1585" spans="1:23" x14ac:dyDescent="0.25">
      <c r="A1585" s="137"/>
      <c r="B1585" s="137"/>
      <c r="C1585" s="137"/>
      <c r="D1585" s="137"/>
      <c r="E1585" s="137"/>
      <c r="F1585" s="137"/>
      <c r="G1585" s="137"/>
      <c r="H1585" s="137"/>
      <c r="I1585" s="137"/>
      <c r="J1585" s="137"/>
      <c r="K1585" s="137"/>
      <c r="L1585" s="137"/>
      <c r="M1585" s="137"/>
      <c r="N1585" s="137"/>
      <c r="O1585" s="137"/>
      <c r="P1585" s="137"/>
      <c r="Q1585" s="137"/>
      <c r="R1585" s="137"/>
      <c r="S1585" s="137"/>
      <c r="T1585" s="137"/>
      <c r="U1585" s="137"/>
      <c r="V1585" s="137"/>
      <c r="W1585" s="137"/>
    </row>
    <row r="1586" spans="1:23" x14ac:dyDescent="0.25">
      <c r="A1586" s="137"/>
      <c r="B1586" s="137"/>
      <c r="C1586" s="137"/>
      <c r="D1586" s="137"/>
      <c r="E1586" s="137"/>
      <c r="F1586" s="137"/>
      <c r="G1586" s="137"/>
      <c r="H1586" s="137"/>
      <c r="I1586" s="137"/>
      <c r="J1586" s="137"/>
      <c r="K1586" s="137"/>
      <c r="L1586" s="137"/>
      <c r="M1586" s="137"/>
      <c r="N1586" s="137"/>
      <c r="O1586" s="137"/>
      <c r="P1586" s="137"/>
      <c r="Q1586" s="137"/>
      <c r="R1586" s="137"/>
      <c r="S1586" s="137"/>
      <c r="T1586" s="137"/>
      <c r="U1586" s="137"/>
      <c r="V1586" s="137"/>
      <c r="W1586" s="137"/>
    </row>
    <row r="1587" spans="1:23" x14ac:dyDescent="0.25">
      <c r="A1587" s="137"/>
      <c r="B1587" s="137"/>
      <c r="C1587" s="137"/>
      <c r="D1587" s="137"/>
      <c r="E1587" s="137"/>
      <c r="F1587" s="137"/>
      <c r="G1587" s="137"/>
      <c r="H1587" s="137"/>
      <c r="I1587" s="137"/>
      <c r="J1587" s="137"/>
      <c r="K1587" s="137"/>
      <c r="L1587" s="137"/>
      <c r="M1587" s="137"/>
      <c r="N1587" s="137"/>
      <c r="O1587" s="137"/>
      <c r="P1587" s="137"/>
      <c r="Q1587" s="137"/>
      <c r="R1587" s="137"/>
      <c r="S1587" s="137"/>
      <c r="T1587" s="137"/>
      <c r="U1587" s="137"/>
      <c r="V1587" s="137"/>
      <c r="W1587" s="137"/>
    </row>
    <row r="1588" spans="1:23" x14ac:dyDescent="0.25">
      <c r="A1588" s="137"/>
      <c r="B1588" s="137"/>
      <c r="C1588" s="137"/>
      <c r="D1588" s="137"/>
      <c r="E1588" s="137"/>
      <c r="F1588" s="137"/>
      <c r="G1588" s="137"/>
      <c r="H1588" s="137"/>
      <c r="I1588" s="137"/>
      <c r="J1588" s="137"/>
      <c r="K1588" s="137"/>
      <c r="L1588" s="137"/>
      <c r="M1588" s="137"/>
      <c r="N1588" s="137"/>
      <c r="O1588" s="137"/>
      <c r="P1588" s="137"/>
      <c r="Q1588" s="137"/>
      <c r="R1588" s="137"/>
      <c r="S1588" s="137"/>
      <c r="T1588" s="137"/>
      <c r="U1588" s="137"/>
      <c r="V1588" s="137"/>
      <c r="W1588" s="137"/>
    </row>
    <row r="1589" spans="1:23" x14ac:dyDescent="0.25">
      <c r="A1589" s="137"/>
      <c r="B1589" s="137"/>
      <c r="C1589" s="137"/>
      <c r="D1589" s="137"/>
      <c r="E1589" s="137"/>
      <c r="F1589" s="137"/>
      <c r="G1589" s="137"/>
      <c r="H1589" s="137"/>
      <c r="I1589" s="137"/>
      <c r="J1589" s="137"/>
      <c r="K1589" s="137"/>
      <c r="L1589" s="137"/>
      <c r="M1589" s="137"/>
      <c r="N1589" s="137"/>
      <c r="O1589" s="137"/>
      <c r="P1589" s="137"/>
      <c r="Q1589" s="137"/>
      <c r="R1589" s="137"/>
      <c r="S1589" s="137"/>
      <c r="T1589" s="137"/>
      <c r="U1589" s="137"/>
      <c r="V1589" s="137"/>
      <c r="W1589" s="137"/>
    </row>
    <row r="1590" spans="1:23" x14ac:dyDescent="0.25">
      <c r="A1590" s="137"/>
      <c r="B1590" s="137"/>
      <c r="C1590" s="137"/>
      <c r="D1590" s="137"/>
      <c r="E1590" s="137"/>
      <c r="F1590" s="137"/>
      <c r="G1590" s="137"/>
      <c r="H1590" s="137"/>
      <c r="I1590" s="137"/>
      <c r="J1590" s="137"/>
      <c r="K1590" s="137"/>
      <c r="L1590" s="137"/>
      <c r="M1590" s="137"/>
      <c r="N1590" s="137"/>
      <c r="O1590" s="137"/>
      <c r="P1590" s="137"/>
      <c r="Q1590" s="137"/>
      <c r="R1590" s="137"/>
      <c r="S1590" s="137"/>
      <c r="T1590" s="137"/>
      <c r="U1590" s="137"/>
      <c r="V1590" s="137"/>
      <c r="W1590" s="137"/>
    </row>
    <row r="1591" spans="1:23" x14ac:dyDescent="0.25">
      <c r="A1591" s="137"/>
      <c r="B1591" s="137"/>
      <c r="C1591" s="137"/>
      <c r="D1591" s="137"/>
      <c r="E1591" s="137"/>
      <c r="F1591" s="137"/>
      <c r="G1591" s="137"/>
      <c r="H1591" s="137"/>
      <c r="I1591" s="137"/>
      <c r="J1591" s="137"/>
      <c r="K1591" s="137"/>
      <c r="L1591" s="137"/>
      <c r="M1591" s="137"/>
      <c r="N1591" s="137"/>
      <c r="O1591" s="137"/>
      <c r="P1591" s="137"/>
      <c r="Q1591" s="137"/>
      <c r="R1591" s="137"/>
      <c r="S1591" s="137"/>
      <c r="T1591" s="137"/>
      <c r="U1591" s="137"/>
      <c r="V1591" s="137"/>
      <c r="W1591" s="137"/>
    </row>
    <row r="1592" spans="1:23" x14ac:dyDescent="0.25">
      <c r="A1592" s="137"/>
      <c r="B1592" s="137"/>
      <c r="C1592" s="137"/>
      <c r="D1592" s="137"/>
      <c r="E1592" s="137"/>
      <c r="F1592" s="137"/>
      <c r="G1592" s="137"/>
      <c r="H1592" s="137"/>
      <c r="I1592" s="137"/>
      <c r="J1592" s="137"/>
      <c r="K1592" s="137"/>
      <c r="L1592" s="137"/>
      <c r="M1592" s="137"/>
      <c r="N1592" s="137"/>
      <c r="O1592" s="137"/>
      <c r="P1592" s="137"/>
      <c r="Q1592" s="137"/>
      <c r="R1592" s="137"/>
      <c r="S1592" s="137"/>
      <c r="T1592" s="137"/>
      <c r="U1592" s="137"/>
      <c r="V1592" s="137"/>
      <c r="W1592" s="137"/>
    </row>
    <row r="1593" spans="1:23" x14ac:dyDescent="0.25">
      <c r="A1593" s="137"/>
      <c r="B1593" s="137"/>
      <c r="C1593" s="137"/>
      <c r="D1593" s="137"/>
      <c r="E1593" s="137"/>
      <c r="F1593" s="137"/>
      <c r="G1593" s="137"/>
      <c r="H1593" s="137"/>
      <c r="I1593" s="137"/>
      <c r="J1593" s="137"/>
      <c r="K1593" s="137"/>
      <c r="L1593" s="137"/>
      <c r="M1593" s="137"/>
      <c r="N1593" s="137"/>
      <c r="O1593" s="137"/>
      <c r="P1593" s="137"/>
      <c r="Q1593" s="137"/>
      <c r="R1593" s="137"/>
      <c r="S1593" s="137"/>
      <c r="T1593" s="137"/>
      <c r="U1593" s="137"/>
      <c r="V1593" s="137"/>
      <c r="W1593" s="137"/>
    </row>
    <row r="1594" spans="1:23" x14ac:dyDescent="0.25">
      <c r="A1594" s="137"/>
      <c r="B1594" s="137"/>
      <c r="C1594" s="137"/>
      <c r="D1594" s="137"/>
      <c r="E1594" s="137"/>
      <c r="F1594" s="137"/>
      <c r="G1594" s="137"/>
      <c r="H1594" s="137"/>
      <c r="I1594" s="137"/>
      <c r="J1594" s="137"/>
      <c r="K1594" s="137"/>
      <c r="L1594" s="137"/>
      <c r="M1594" s="137"/>
      <c r="N1594" s="137"/>
      <c r="O1594" s="137"/>
      <c r="P1594" s="137"/>
      <c r="Q1594" s="137"/>
      <c r="R1594" s="137"/>
      <c r="S1594" s="137"/>
      <c r="T1594" s="137"/>
      <c r="U1594" s="137"/>
      <c r="V1594" s="137"/>
      <c r="W1594" s="137"/>
    </row>
    <row r="1595" spans="1:23" x14ac:dyDescent="0.25">
      <c r="A1595" s="137"/>
      <c r="B1595" s="137"/>
      <c r="C1595" s="137"/>
      <c r="D1595" s="137"/>
      <c r="E1595" s="137"/>
      <c r="F1595" s="137"/>
      <c r="G1595" s="137"/>
      <c r="H1595" s="137"/>
      <c r="I1595" s="137"/>
      <c r="J1595" s="137"/>
      <c r="K1595" s="137"/>
      <c r="L1595" s="137"/>
      <c r="M1595" s="137"/>
      <c r="N1595" s="137"/>
      <c r="O1595" s="137"/>
      <c r="P1595" s="137"/>
      <c r="Q1595" s="137"/>
      <c r="R1595" s="137"/>
      <c r="S1595" s="137"/>
      <c r="T1595" s="137"/>
      <c r="U1595" s="137"/>
      <c r="V1595" s="137"/>
      <c r="W1595" s="137"/>
    </row>
    <row r="1596" spans="1:23" x14ac:dyDescent="0.25">
      <c r="A1596" s="137"/>
      <c r="B1596" s="137"/>
      <c r="C1596" s="137"/>
      <c r="D1596" s="137"/>
      <c r="E1596" s="137"/>
      <c r="F1596" s="137"/>
      <c r="G1596" s="137"/>
      <c r="H1596" s="137"/>
      <c r="I1596" s="137"/>
      <c r="J1596" s="137"/>
      <c r="K1596" s="137"/>
      <c r="L1596" s="137"/>
      <c r="M1596" s="137"/>
      <c r="N1596" s="137"/>
      <c r="O1596" s="137"/>
      <c r="P1596" s="137"/>
      <c r="Q1596" s="137"/>
      <c r="R1596" s="137"/>
      <c r="S1596" s="137"/>
      <c r="T1596" s="137"/>
      <c r="U1596" s="137"/>
      <c r="V1596" s="137"/>
      <c r="W1596" s="137"/>
    </row>
    <row r="1597" spans="1:23" x14ac:dyDescent="0.25">
      <c r="A1597" s="137"/>
      <c r="B1597" s="137"/>
      <c r="C1597" s="137"/>
      <c r="D1597" s="137"/>
      <c r="E1597" s="137"/>
      <c r="F1597" s="137"/>
      <c r="G1597" s="137"/>
      <c r="H1597" s="137"/>
      <c r="I1597" s="137"/>
      <c r="J1597" s="137"/>
      <c r="K1597" s="137"/>
      <c r="L1597" s="137"/>
      <c r="M1597" s="137"/>
      <c r="N1597" s="137"/>
      <c r="O1597" s="137"/>
      <c r="P1597" s="137"/>
      <c r="Q1597" s="137"/>
      <c r="R1597" s="137"/>
      <c r="S1597" s="137"/>
      <c r="T1597" s="137"/>
      <c r="U1597" s="137"/>
      <c r="V1597" s="137"/>
      <c r="W1597" s="137"/>
    </row>
    <row r="1598" spans="1:23" x14ac:dyDescent="0.25">
      <c r="A1598" s="137"/>
      <c r="B1598" s="137"/>
      <c r="C1598" s="137"/>
      <c r="D1598" s="137"/>
      <c r="E1598" s="137"/>
      <c r="F1598" s="137"/>
      <c r="G1598" s="137"/>
      <c r="H1598" s="137"/>
      <c r="I1598" s="137"/>
      <c r="J1598" s="137"/>
      <c r="K1598" s="137"/>
      <c r="L1598" s="137"/>
      <c r="M1598" s="137"/>
      <c r="N1598" s="137"/>
      <c r="O1598" s="137"/>
      <c r="P1598" s="137"/>
      <c r="Q1598" s="137"/>
      <c r="R1598" s="137"/>
      <c r="S1598" s="137"/>
      <c r="T1598" s="137"/>
      <c r="U1598" s="137"/>
      <c r="V1598" s="137"/>
      <c r="W1598" s="137"/>
    </row>
    <row r="1599" spans="1:23" x14ac:dyDescent="0.25">
      <c r="A1599" s="137"/>
      <c r="B1599" s="137"/>
      <c r="C1599" s="137"/>
      <c r="D1599" s="137"/>
      <c r="E1599" s="137"/>
      <c r="F1599" s="137"/>
      <c r="G1599" s="137"/>
      <c r="H1599" s="137"/>
      <c r="I1599" s="137"/>
      <c r="J1599" s="137"/>
      <c r="K1599" s="137"/>
      <c r="L1599" s="137"/>
      <c r="M1599" s="137"/>
      <c r="N1599" s="137"/>
      <c r="O1599" s="137"/>
      <c r="P1599" s="137"/>
      <c r="Q1599" s="137"/>
      <c r="R1599" s="137"/>
      <c r="S1599" s="137"/>
      <c r="T1599" s="137"/>
      <c r="U1599" s="137"/>
      <c r="V1599" s="137"/>
      <c r="W1599" s="137"/>
    </row>
    <row r="1600" spans="1:23" x14ac:dyDescent="0.25">
      <c r="A1600" s="137"/>
      <c r="B1600" s="137"/>
      <c r="C1600" s="137"/>
      <c r="D1600" s="137"/>
      <c r="E1600" s="137"/>
      <c r="F1600" s="137"/>
      <c r="G1600" s="137"/>
      <c r="H1600" s="137"/>
      <c r="I1600" s="137"/>
      <c r="J1600" s="137"/>
      <c r="K1600" s="137"/>
      <c r="L1600" s="137"/>
      <c r="M1600" s="137"/>
      <c r="N1600" s="137"/>
      <c r="O1600" s="137"/>
      <c r="P1600" s="137"/>
      <c r="Q1600" s="137"/>
      <c r="R1600" s="137"/>
      <c r="S1600" s="137"/>
      <c r="T1600" s="137"/>
      <c r="U1600" s="137"/>
      <c r="V1600" s="137"/>
      <c r="W1600" s="137"/>
    </row>
    <row r="1601" spans="1:23" x14ac:dyDescent="0.25">
      <c r="A1601" s="137"/>
      <c r="B1601" s="137"/>
      <c r="C1601" s="137"/>
      <c r="D1601" s="137"/>
      <c r="E1601" s="137"/>
      <c r="F1601" s="137"/>
      <c r="G1601" s="137"/>
      <c r="H1601" s="137"/>
      <c r="I1601" s="137"/>
      <c r="J1601" s="137"/>
      <c r="K1601" s="137"/>
      <c r="L1601" s="137"/>
      <c r="M1601" s="137"/>
      <c r="N1601" s="137"/>
      <c r="O1601" s="137"/>
      <c r="P1601" s="137"/>
      <c r="Q1601" s="137"/>
      <c r="R1601" s="137"/>
      <c r="S1601" s="137"/>
      <c r="T1601" s="137"/>
      <c r="U1601" s="137"/>
      <c r="V1601" s="137"/>
      <c r="W1601" s="137"/>
    </row>
    <row r="1602" spans="1:23" x14ac:dyDescent="0.25">
      <c r="A1602" s="137"/>
      <c r="B1602" s="137"/>
      <c r="C1602" s="137"/>
      <c r="D1602" s="137"/>
      <c r="E1602" s="137"/>
      <c r="F1602" s="137"/>
      <c r="G1602" s="137"/>
      <c r="H1602" s="137"/>
      <c r="I1602" s="137"/>
      <c r="J1602" s="137"/>
      <c r="K1602" s="137"/>
      <c r="L1602" s="137"/>
      <c r="M1602" s="137"/>
      <c r="N1602" s="137"/>
      <c r="O1602" s="137"/>
      <c r="P1602" s="137"/>
      <c r="Q1602" s="137"/>
      <c r="R1602" s="137"/>
      <c r="S1602" s="137"/>
      <c r="T1602" s="137"/>
      <c r="U1602" s="137"/>
      <c r="V1602" s="137"/>
      <c r="W1602" s="137"/>
    </row>
    <row r="1603" spans="1:23" x14ac:dyDescent="0.25">
      <c r="A1603" s="137"/>
      <c r="B1603" s="137"/>
      <c r="C1603" s="137"/>
      <c r="D1603" s="137"/>
      <c r="E1603" s="137"/>
      <c r="F1603" s="137"/>
      <c r="G1603" s="137"/>
      <c r="H1603" s="137"/>
      <c r="I1603" s="137"/>
      <c r="J1603" s="137"/>
      <c r="K1603" s="137"/>
      <c r="L1603" s="137"/>
      <c r="M1603" s="137"/>
      <c r="N1603" s="137"/>
      <c r="O1603" s="137"/>
      <c r="P1603" s="137"/>
      <c r="Q1603" s="137"/>
      <c r="R1603" s="137"/>
      <c r="S1603" s="137"/>
      <c r="T1603" s="137"/>
      <c r="U1603" s="137"/>
      <c r="V1603" s="137"/>
      <c r="W1603" s="137"/>
    </row>
    <row r="1604" spans="1:23" x14ac:dyDescent="0.25">
      <c r="A1604" s="137"/>
      <c r="B1604" s="137"/>
      <c r="C1604" s="137"/>
      <c r="D1604" s="137"/>
      <c r="E1604" s="137"/>
      <c r="F1604" s="137"/>
      <c r="G1604" s="137"/>
      <c r="H1604" s="137"/>
      <c r="I1604" s="137"/>
      <c r="J1604" s="137"/>
      <c r="K1604" s="137"/>
      <c r="L1604" s="137"/>
      <c r="M1604" s="137"/>
      <c r="N1604" s="137"/>
      <c r="O1604" s="137"/>
      <c r="P1604" s="137"/>
      <c r="Q1604" s="137"/>
      <c r="R1604" s="137"/>
      <c r="S1604" s="137"/>
      <c r="T1604" s="137"/>
      <c r="U1604" s="137"/>
      <c r="V1604" s="137"/>
      <c r="W1604" s="137"/>
    </row>
    <row r="1605" spans="1:23" x14ac:dyDescent="0.25">
      <c r="A1605" s="137"/>
      <c r="B1605" s="137"/>
      <c r="C1605" s="137"/>
      <c r="D1605" s="137"/>
      <c r="E1605" s="137"/>
      <c r="F1605" s="137"/>
      <c r="G1605" s="137"/>
      <c r="H1605" s="137"/>
      <c r="I1605" s="137"/>
      <c r="J1605" s="137"/>
      <c r="K1605" s="137"/>
      <c r="L1605" s="137"/>
      <c r="M1605" s="137"/>
      <c r="N1605" s="137"/>
      <c r="O1605" s="137"/>
      <c r="P1605" s="137"/>
      <c r="Q1605" s="137"/>
      <c r="R1605" s="137"/>
      <c r="S1605" s="137"/>
      <c r="T1605" s="137"/>
      <c r="U1605" s="137"/>
      <c r="V1605" s="137"/>
      <c r="W1605" s="137"/>
    </row>
    <row r="1606" spans="1:23" x14ac:dyDescent="0.25">
      <c r="A1606" s="137"/>
      <c r="B1606" s="137"/>
      <c r="C1606" s="137"/>
      <c r="D1606" s="137"/>
      <c r="E1606" s="137"/>
      <c r="F1606" s="137"/>
      <c r="G1606" s="137"/>
      <c r="H1606" s="137"/>
      <c r="I1606" s="137"/>
      <c r="J1606" s="137"/>
      <c r="K1606" s="137"/>
      <c r="L1606" s="137"/>
      <c r="M1606" s="137"/>
      <c r="N1606" s="137"/>
      <c r="O1606" s="137"/>
      <c r="P1606" s="137"/>
      <c r="Q1606" s="137"/>
      <c r="R1606" s="137"/>
      <c r="S1606" s="137"/>
      <c r="T1606" s="137"/>
      <c r="U1606" s="137"/>
      <c r="V1606" s="137"/>
      <c r="W1606" s="137"/>
    </row>
    <row r="1607" spans="1:23" x14ac:dyDescent="0.25">
      <c r="A1607" s="137"/>
      <c r="B1607" s="137"/>
      <c r="C1607" s="137"/>
      <c r="D1607" s="137"/>
      <c r="E1607" s="137"/>
      <c r="F1607" s="137"/>
      <c r="G1607" s="137"/>
      <c r="H1607" s="137"/>
      <c r="I1607" s="137"/>
      <c r="J1607" s="137"/>
      <c r="K1607" s="137"/>
      <c r="L1607" s="137"/>
      <c r="M1607" s="137"/>
      <c r="N1607" s="137"/>
      <c r="O1607" s="137"/>
      <c r="P1607" s="137"/>
      <c r="Q1607" s="137"/>
      <c r="R1607" s="137"/>
      <c r="S1607" s="137"/>
      <c r="T1607" s="137"/>
      <c r="U1607" s="137"/>
      <c r="V1607" s="137"/>
      <c r="W1607" s="137"/>
    </row>
    <row r="1608" spans="1:23" x14ac:dyDescent="0.25">
      <c r="A1608" s="137"/>
      <c r="B1608" s="137"/>
      <c r="C1608" s="137"/>
      <c r="D1608" s="137"/>
      <c r="E1608" s="137"/>
      <c r="F1608" s="137"/>
      <c r="G1608" s="137"/>
      <c r="H1608" s="137"/>
      <c r="I1608" s="137"/>
      <c r="J1608" s="137"/>
      <c r="K1608" s="137"/>
      <c r="L1608" s="137"/>
      <c r="M1608" s="137"/>
      <c r="N1608" s="137"/>
      <c r="O1608" s="137"/>
      <c r="P1608" s="137"/>
      <c r="Q1608" s="137"/>
      <c r="R1608" s="137"/>
      <c r="S1608" s="137"/>
      <c r="T1608" s="137"/>
      <c r="U1608" s="137"/>
      <c r="V1608" s="137"/>
      <c r="W1608" s="137"/>
    </row>
    <row r="1609" spans="1:23" x14ac:dyDescent="0.25">
      <c r="A1609" s="137"/>
      <c r="B1609" s="137"/>
      <c r="C1609" s="137"/>
      <c r="D1609" s="137"/>
      <c r="E1609" s="137"/>
      <c r="F1609" s="137"/>
      <c r="G1609" s="137"/>
      <c r="H1609" s="137"/>
      <c r="I1609" s="137"/>
      <c r="J1609" s="137"/>
      <c r="K1609" s="137"/>
      <c r="L1609" s="137"/>
      <c r="M1609" s="137"/>
      <c r="N1609" s="137"/>
      <c r="O1609" s="137"/>
      <c r="P1609" s="137"/>
      <c r="Q1609" s="137"/>
      <c r="R1609" s="137"/>
      <c r="S1609" s="137"/>
      <c r="T1609" s="137"/>
      <c r="U1609" s="137"/>
      <c r="V1609" s="137"/>
      <c r="W1609" s="137"/>
    </row>
    <row r="1610" spans="1:23" x14ac:dyDescent="0.25">
      <c r="A1610" s="137"/>
      <c r="B1610" s="137"/>
      <c r="C1610" s="137"/>
      <c r="D1610" s="137"/>
      <c r="E1610" s="137"/>
      <c r="F1610" s="137"/>
      <c r="G1610" s="137"/>
      <c r="H1610" s="137"/>
      <c r="I1610" s="137"/>
      <c r="J1610" s="137"/>
      <c r="K1610" s="137"/>
      <c r="L1610" s="137"/>
      <c r="M1610" s="137"/>
      <c r="N1610" s="137"/>
      <c r="O1610" s="137"/>
      <c r="P1610" s="137"/>
      <c r="Q1610" s="137"/>
      <c r="R1610" s="137"/>
      <c r="S1610" s="137"/>
      <c r="T1610" s="137"/>
      <c r="U1610" s="137"/>
      <c r="V1610" s="137"/>
      <c r="W1610" s="137"/>
    </row>
    <row r="1611" spans="1:23" x14ac:dyDescent="0.25">
      <c r="A1611" s="137"/>
      <c r="B1611" s="137"/>
      <c r="C1611" s="137"/>
      <c r="D1611" s="137"/>
      <c r="E1611" s="137"/>
      <c r="F1611" s="137"/>
      <c r="G1611" s="137"/>
      <c r="H1611" s="137"/>
      <c r="I1611" s="137"/>
      <c r="J1611" s="137"/>
      <c r="K1611" s="137"/>
      <c r="L1611" s="137"/>
      <c r="M1611" s="137"/>
      <c r="N1611" s="137"/>
      <c r="O1611" s="137"/>
      <c r="P1611" s="137"/>
      <c r="Q1611" s="137"/>
      <c r="R1611" s="137"/>
      <c r="S1611" s="137"/>
      <c r="T1611" s="137"/>
      <c r="U1611" s="137"/>
      <c r="V1611" s="137"/>
      <c r="W1611" s="137"/>
    </row>
    <row r="1612" spans="1:23" x14ac:dyDescent="0.25">
      <c r="A1612" s="137"/>
      <c r="B1612" s="137"/>
      <c r="C1612" s="137"/>
      <c r="D1612" s="137"/>
      <c r="E1612" s="137"/>
      <c r="F1612" s="137"/>
      <c r="G1612" s="137"/>
      <c r="H1612" s="137"/>
      <c r="I1612" s="137"/>
      <c r="J1612" s="137"/>
      <c r="K1612" s="137"/>
      <c r="L1612" s="137"/>
      <c r="M1612" s="137"/>
      <c r="N1612" s="137"/>
      <c r="O1612" s="137"/>
      <c r="P1612" s="137"/>
      <c r="Q1612" s="137"/>
      <c r="R1612" s="137"/>
      <c r="S1612" s="137"/>
      <c r="T1612" s="137"/>
      <c r="U1612" s="137"/>
      <c r="V1612" s="137"/>
      <c r="W1612" s="137"/>
    </row>
    <row r="1613" spans="1:23" x14ac:dyDescent="0.25">
      <c r="A1613" s="137"/>
      <c r="B1613" s="137"/>
      <c r="C1613" s="137"/>
      <c r="D1613" s="137"/>
      <c r="E1613" s="137"/>
      <c r="F1613" s="137"/>
      <c r="G1613" s="137"/>
      <c r="H1613" s="137"/>
      <c r="I1613" s="137"/>
      <c r="J1613" s="137"/>
      <c r="K1613" s="137"/>
      <c r="L1613" s="137"/>
      <c r="M1613" s="137"/>
      <c r="N1613" s="137"/>
      <c r="O1613" s="137"/>
      <c r="P1613" s="137"/>
      <c r="Q1613" s="137"/>
      <c r="R1613" s="137"/>
      <c r="S1613" s="137"/>
      <c r="T1613" s="137"/>
      <c r="U1613" s="137"/>
      <c r="V1613" s="137"/>
      <c r="W1613" s="137"/>
    </row>
    <row r="1614" spans="1:23" x14ac:dyDescent="0.25">
      <c r="A1614" s="137"/>
      <c r="B1614" s="137"/>
      <c r="C1614" s="137"/>
      <c r="D1614" s="137"/>
      <c r="E1614" s="137"/>
      <c r="F1614" s="137"/>
      <c r="G1614" s="137"/>
      <c r="H1614" s="137"/>
      <c r="I1614" s="137"/>
      <c r="J1614" s="137"/>
      <c r="K1614" s="137"/>
      <c r="L1614" s="137"/>
      <c r="M1614" s="137"/>
      <c r="N1614" s="137"/>
      <c r="O1614" s="137"/>
      <c r="P1614" s="137"/>
      <c r="Q1614" s="137"/>
      <c r="R1614" s="137"/>
      <c r="S1614" s="137"/>
      <c r="T1614" s="137"/>
      <c r="U1614" s="137"/>
      <c r="V1614" s="137"/>
      <c r="W1614" s="137"/>
    </row>
    <row r="1615" spans="1:23" x14ac:dyDescent="0.25">
      <c r="A1615" s="137"/>
      <c r="B1615" s="137"/>
      <c r="C1615" s="137"/>
      <c r="D1615" s="137"/>
      <c r="E1615" s="137"/>
      <c r="F1615" s="137"/>
      <c r="G1615" s="137"/>
      <c r="H1615" s="137"/>
      <c r="I1615" s="137"/>
      <c r="J1615" s="137"/>
      <c r="K1615" s="137"/>
      <c r="L1615" s="137"/>
      <c r="M1615" s="137"/>
      <c r="N1615" s="137"/>
      <c r="O1615" s="137"/>
      <c r="P1615" s="137"/>
      <c r="Q1615" s="137"/>
      <c r="R1615" s="137"/>
      <c r="S1615" s="137"/>
      <c r="T1615" s="137"/>
      <c r="U1615" s="137"/>
      <c r="V1615" s="137"/>
      <c r="W1615" s="137"/>
    </row>
    <row r="1616" spans="1:23" x14ac:dyDescent="0.25">
      <c r="A1616" s="137"/>
      <c r="B1616" s="137"/>
      <c r="C1616" s="137"/>
      <c r="D1616" s="137"/>
      <c r="E1616" s="137"/>
      <c r="F1616" s="137"/>
      <c r="G1616" s="137"/>
      <c r="H1616" s="137"/>
      <c r="I1616" s="137"/>
      <c r="J1616" s="137"/>
      <c r="K1616" s="137"/>
      <c r="L1616" s="137"/>
      <c r="M1616" s="137"/>
      <c r="N1616" s="137"/>
      <c r="O1616" s="137"/>
      <c r="P1616" s="137"/>
      <c r="Q1616" s="137"/>
      <c r="R1616" s="137"/>
      <c r="S1616" s="137"/>
      <c r="T1616" s="137"/>
      <c r="U1616" s="137"/>
      <c r="V1616" s="137"/>
      <c r="W1616" s="137"/>
    </row>
    <row r="1617" spans="1:23" x14ac:dyDescent="0.25">
      <c r="A1617" s="137"/>
      <c r="B1617" s="137"/>
      <c r="C1617" s="137"/>
      <c r="D1617" s="137"/>
      <c r="E1617" s="137"/>
      <c r="F1617" s="137"/>
      <c r="G1617" s="137"/>
      <c r="H1617" s="137"/>
      <c r="I1617" s="137"/>
      <c r="J1617" s="137"/>
      <c r="K1617" s="137"/>
      <c r="L1617" s="137"/>
      <c r="M1617" s="137"/>
      <c r="N1617" s="137"/>
      <c r="O1617" s="137"/>
      <c r="P1617" s="137"/>
      <c r="Q1617" s="137"/>
      <c r="R1617" s="137"/>
      <c r="S1617" s="137"/>
      <c r="T1617" s="137"/>
      <c r="U1617" s="137"/>
      <c r="V1617" s="137"/>
      <c r="W1617" s="137"/>
    </row>
    <row r="1618" spans="1:23" x14ac:dyDescent="0.25">
      <c r="A1618" s="137"/>
      <c r="B1618" s="137"/>
      <c r="C1618" s="137"/>
      <c r="D1618" s="137"/>
      <c r="E1618" s="137"/>
      <c r="F1618" s="137"/>
      <c r="G1618" s="137"/>
      <c r="H1618" s="137"/>
      <c r="I1618" s="137"/>
      <c r="J1618" s="137"/>
      <c r="K1618" s="137"/>
      <c r="L1618" s="137"/>
      <c r="M1618" s="137"/>
      <c r="N1618" s="137"/>
      <c r="O1618" s="137"/>
      <c r="P1618" s="137"/>
      <c r="Q1618" s="137"/>
      <c r="R1618" s="137"/>
      <c r="S1618" s="137"/>
      <c r="T1618" s="137"/>
      <c r="U1618" s="137"/>
      <c r="V1618" s="137"/>
      <c r="W1618" s="137"/>
    </row>
    <row r="1619" spans="1:23" x14ac:dyDescent="0.25">
      <c r="A1619" s="137"/>
      <c r="B1619" s="137"/>
      <c r="C1619" s="137"/>
      <c r="D1619" s="137"/>
      <c r="E1619" s="137"/>
      <c r="F1619" s="137"/>
      <c r="G1619" s="137"/>
      <c r="H1619" s="137"/>
      <c r="I1619" s="137"/>
      <c r="J1619" s="137"/>
      <c r="K1619" s="137"/>
      <c r="L1619" s="137"/>
      <c r="M1619" s="137"/>
      <c r="N1619" s="137"/>
      <c r="O1619" s="137"/>
      <c r="P1619" s="137"/>
      <c r="Q1619" s="137"/>
      <c r="R1619" s="137"/>
      <c r="S1619" s="137"/>
      <c r="T1619" s="137"/>
      <c r="U1619" s="137"/>
      <c r="V1619" s="137"/>
      <c r="W1619" s="137"/>
    </row>
    <row r="1620" spans="1:23" x14ac:dyDescent="0.25">
      <c r="A1620" s="137"/>
      <c r="B1620" s="137"/>
      <c r="C1620" s="137"/>
      <c r="D1620" s="137"/>
      <c r="E1620" s="137"/>
      <c r="F1620" s="137"/>
      <c r="G1620" s="137"/>
      <c r="H1620" s="137"/>
      <c r="I1620" s="137"/>
      <c r="J1620" s="137"/>
      <c r="K1620" s="137"/>
      <c r="L1620" s="137"/>
      <c r="M1620" s="137"/>
      <c r="N1620" s="137"/>
      <c r="O1620" s="137"/>
      <c r="P1620" s="137"/>
      <c r="Q1620" s="137"/>
      <c r="R1620" s="137"/>
      <c r="S1620" s="137"/>
      <c r="T1620" s="137"/>
      <c r="U1620" s="137"/>
      <c r="V1620" s="137"/>
      <c r="W1620" s="137"/>
    </row>
    <row r="1621" spans="1:23" x14ac:dyDescent="0.25">
      <c r="A1621" s="137"/>
      <c r="B1621" s="137"/>
      <c r="C1621" s="137"/>
      <c r="D1621" s="137"/>
      <c r="E1621" s="137"/>
      <c r="F1621" s="137"/>
      <c r="G1621" s="137"/>
      <c r="H1621" s="137"/>
      <c r="I1621" s="137"/>
      <c r="J1621" s="137"/>
      <c r="K1621" s="137"/>
      <c r="L1621" s="137"/>
      <c r="M1621" s="137"/>
      <c r="N1621" s="137"/>
      <c r="O1621" s="137"/>
      <c r="P1621" s="137"/>
      <c r="Q1621" s="137"/>
      <c r="R1621" s="137"/>
      <c r="S1621" s="137"/>
      <c r="T1621" s="137"/>
      <c r="U1621" s="137"/>
      <c r="V1621" s="137"/>
      <c r="W1621" s="137"/>
    </row>
    <row r="1622" spans="1:23" x14ac:dyDescent="0.25">
      <c r="A1622" s="137"/>
      <c r="B1622" s="137"/>
      <c r="C1622" s="137"/>
      <c r="D1622" s="137"/>
      <c r="E1622" s="137"/>
      <c r="F1622" s="137"/>
      <c r="G1622" s="137"/>
      <c r="H1622" s="137"/>
      <c r="I1622" s="137"/>
      <c r="J1622" s="137"/>
      <c r="K1622" s="137"/>
      <c r="L1622" s="137"/>
      <c r="M1622" s="137"/>
      <c r="N1622" s="137"/>
      <c r="O1622" s="137"/>
      <c r="P1622" s="137"/>
      <c r="Q1622" s="137"/>
      <c r="R1622" s="137"/>
      <c r="S1622" s="137"/>
      <c r="T1622" s="137"/>
      <c r="U1622" s="137"/>
      <c r="V1622" s="137"/>
      <c r="W1622" s="137"/>
    </row>
    <row r="1623" spans="1:23" x14ac:dyDescent="0.25">
      <c r="A1623" s="137"/>
      <c r="B1623" s="137"/>
      <c r="C1623" s="137"/>
      <c r="D1623" s="137"/>
      <c r="E1623" s="137"/>
      <c r="F1623" s="137"/>
      <c r="G1623" s="137"/>
      <c r="H1623" s="137"/>
      <c r="I1623" s="137"/>
      <c r="J1623" s="137"/>
      <c r="K1623" s="137"/>
      <c r="L1623" s="137"/>
      <c r="M1623" s="137"/>
      <c r="N1623" s="137"/>
      <c r="O1623" s="137"/>
      <c r="P1623" s="137"/>
      <c r="Q1623" s="137"/>
      <c r="R1623" s="137"/>
      <c r="S1623" s="137"/>
      <c r="T1623" s="137"/>
      <c r="U1623" s="137"/>
      <c r="V1623" s="137"/>
      <c r="W1623" s="137"/>
    </row>
    <row r="1624" spans="1:23" x14ac:dyDescent="0.25">
      <c r="A1624" s="137"/>
      <c r="B1624" s="137"/>
      <c r="C1624" s="137"/>
      <c r="D1624" s="137"/>
      <c r="E1624" s="137"/>
      <c r="F1624" s="137"/>
      <c r="G1624" s="137"/>
      <c r="H1624" s="137"/>
      <c r="I1624" s="137"/>
      <c r="J1624" s="137"/>
      <c r="K1624" s="137"/>
      <c r="L1624" s="137"/>
      <c r="M1624" s="137"/>
      <c r="N1624" s="137"/>
      <c r="O1624" s="137"/>
      <c r="P1624" s="137"/>
      <c r="Q1624" s="137"/>
      <c r="R1624" s="137"/>
      <c r="S1624" s="137"/>
      <c r="T1624" s="137"/>
      <c r="U1624" s="137"/>
      <c r="V1624" s="137"/>
      <c r="W1624" s="137"/>
    </row>
    <row r="1625" spans="1:23" x14ac:dyDescent="0.25">
      <c r="A1625" s="137"/>
      <c r="B1625" s="137"/>
      <c r="C1625" s="137"/>
      <c r="D1625" s="137"/>
      <c r="E1625" s="137"/>
      <c r="F1625" s="137"/>
      <c r="G1625" s="137"/>
      <c r="H1625" s="137"/>
      <c r="I1625" s="137"/>
      <c r="J1625" s="137"/>
      <c r="K1625" s="137"/>
      <c r="L1625" s="137"/>
      <c r="M1625" s="137"/>
      <c r="N1625" s="137"/>
      <c r="O1625" s="137"/>
      <c r="P1625" s="137"/>
      <c r="Q1625" s="137"/>
      <c r="R1625" s="137"/>
      <c r="S1625" s="137"/>
      <c r="T1625" s="137"/>
      <c r="U1625" s="137"/>
      <c r="V1625" s="137"/>
      <c r="W1625" s="137"/>
    </row>
    <row r="1626" spans="1:23" x14ac:dyDescent="0.25">
      <c r="A1626" s="137"/>
      <c r="B1626" s="137"/>
      <c r="C1626" s="137"/>
      <c r="D1626" s="137"/>
      <c r="E1626" s="137"/>
      <c r="F1626" s="137"/>
      <c r="G1626" s="137"/>
      <c r="H1626" s="137"/>
      <c r="I1626" s="137"/>
      <c r="J1626" s="137"/>
      <c r="K1626" s="137"/>
      <c r="L1626" s="137"/>
      <c r="M1626" s="137"/>
      <c r="N1626" s="137"/>
      <c r="O1626" s="137"/>
      <c r="P1626" s="137"/>
      <c r="Q1626" s="137"/>
      <c r="R1626" s="137"/>
      <c r="S1626" s="137"/>
      <c r="T1626" s="137"/>
      <c r="U1626" s="137"/>
      <c r="V1626" s="137"/>
      <c r="W1626" s="137"/>
    </row>
    <row r="1627" spans="1:23" x14ac:dyDescent="0.25">
      <c r="A1627" s="137"/>
      <c r="B1627" s="137"/>
      <c r="C1627" s="137"/>
      <c r="D1627" s="137"/>
      <c r="E1627" s="137"/>
      <c r="F1627" s="137"/>
      <c r="G1627" s="137"/>
      <c r="H1627" s="137"/>
      <c r="I1627" s="137"/>
      <c r="J1627" s="137"/>
      <c r="K1627" s="137"/>
      <c r="L1627" s="137"/>
      <c r="M1627" s="137"/>
      <c r="N1627" s="137"/>
      <c r="O1627" s="137"/>
      <c r="P1627" s="137"/>
      <c r="Q1627" s="137"/>
      <c r="R1627" s="137"/>
      <c r="S1627" s="137"/>
      <c r="T1627" s="137"/>
      <c r="U1627" s="137"/>
      <c r="V1627" s="137"/>
      <c r="W1627" s="137"/>
    </row>
    <row r="1628" spans="1:23" x14ac:dyDescent="0.25">
      <c r="A1628" s="137"/>
      <c r="B1628" s="137"/>
      <c r="C1628" s="137"/>
      <c r="D1628" s="137"/>
      <c r="E1628" s="137"/>
      <c r="F1628" s="137"/>
      <c r="G1628" s="137"/>
      <c r="H1628" s="137"/>
      <c r="I1628" s="137"/>
      <c r="J1628" s="137"/>
      <c r="K1628" s="137"/>
      <c r="L1628" s="137"/>
      <c r="M1628" s="137"/>
      <c r="N1628" s="137"/>
      <c r="O1628" s="137"/>
      <c r="P1628" s="137"/>
      <c r="Q1628" s="137"/>
      <c r="R1628" s="137"/>
      <c r="S1628" s="137"/>
      <c r="T1628" s="137"/>
      <c r="U1628" s="137"/>
      <c r="V1628" s="137"/>
      <c r="W1628" s="137"/>
    </row>
    <row r="1629" spans="1:23" x14ac:dyDescent="0.25">
      <c r="A1629" s="137"/>
      <c r="B1629" s="137"/>
      <c r="C1629" s="137"/>
      <c r="D1629" s="137"/>
      <c r="E1629" s="137"/>
      <c r="F1629" s="137"/>
      <c r="G1629" s="137"/>
      <c r="H1629" s="137"/>
      <c r="I1629" s="137"/>
      <c r="J1629" s="137"/>
      <c r="K1629" s="137"/>
      <c r="L1629" s="137"/>
      <c r="M1629" s="137"/>
      <c r="N1629" s="137"/>
      <c r="O1629" s="137"/>
      <c r="P1629" s="137"/>
      <c r="Q1629" s="137"/>
      <c r="R1629" s="137"/>
      <c r="S1629" s="137"/>
      <c r="T1629" s="137"/>
      <c r="U1629" s="137"/>
      <c r="V1629" s="137"/>
      <c r="W1629" s="137"/>
    </row>
    <row r="1630" spans="1:23" x14ac:dyDescent="0.25">
      <c r="A1630" s="137"/>
      <c r="B1630" s="137"/>
      <c r="C1630" s="137"/>
      <c r="D1630" s="137"/>
      <c r="E1630" s="137"/>
      <c r="F1630" s="137"/>
      <c r="G1630" s="137"/>
      <c r="H1630" s="137"/>
      <c r="I1630" s="137"/>
      <c r="J1630" s="137"/>
      <c r="K1630" s="137"/>
      <c r="L1630" s="137"/>
      <c r="M1630" s="137"/>
      <c r="N1630" s="137"/>
      <c r="O1630" s="137"/>
      <c r="P1630" s="137"/>
      <c r="Q1630" s="137"/>
      <c r="R1630" s="137"/>
      <c r="S1630" s="137"/>
      <c r="T1630" s="137"/>
      <c r="U1630" s="137"/>
      <c r="V1630" s="137"/>
      <c r="W1630" s="137"/>
    </row>
    <row r="1631" spans="1:23" x14ac:dyDescent="0.25">
      <c r="A1631" s="137"/>
      <c r="B1631" s="137"/>
      <c r="C1631" s="137"/>
      <c r="D1631" s="137"/>
      <c r="E1631" s="137"/>
      <c r="F1631" s="137"/>
      <c r="G1631" s="137"/>
      <c r="H1631" s="137"/>
      <c r="I1631" s="137"/>
      <c r="J1631" s="137"/>
      <c r="K1631" s="137"/>
      <c r="L1631" s="137"/>
      <c r="M1631" s="137"/>
      <c r="N1631" s="137"/>
      <c r="O1631" s="137"/>
      <c r="P1631" s="137"/>
      <c r="Q1631" s="137"/>
      <c r="R1631" s="137"/>
      <c r="S1631" s="137"/>
      <c r="T1631" s="137"/>
      <c r="U1631" s="137"/>
      <c r="V1631" s="137"/>
      <c r="W1631" s="137"/>
    </row>
    <row r="1632" spans="1:23" x14ac:dyDescent="0.25">
      <c r="A1632" s="137"/>
      <c r="B1632" s="137"/>
      <c r="C1632" s="137"/>
      <c r="D1632" s="137"/>
      <c r="E1632" s="137"/>
      <c r="F1632" s="137"/>
      <c r="G1632" s="137"/>
      <c r="H1632" s="137"/>
      <c r="I1632" s="137"/>
      <c r="J1632" s="137"/>
      <c r="K1632" s="137"/>
      <c r="L1632" s="137"/>
      <c r="M1632" s="137"/>
      <c r="N1632" s="137"/>
      <c r="O1632" s="137"/>
      <c r="P1632" s="137"/>
      <c r="Q1632" s="137"/>
      <c r="R1632" s="137"/>
      <c r="S1632" s="137"/>
      <c r="T1632" s="137"/>
      <c r="U1632" s="137"/>
      <c r="V1632" s="137"/>
      <c r="W1632" s="137"/>
    </row>
    <row r="1633" spans="1:23" x14ac:dyDescent="0.25">
      <c r="A1633" s="137"/>
      <c r="B1633" s="137"/>
      <c r="C1633" s="137"/>
      <c r="D1633" s="137"/>
      <c r="E1633" s="137"/>
      <c r="F1633" s="137"/>
      <c r="G1633" s="137"/>
      <c r="H1633" s="137"/>
      <c r="I1633" s="137"/>
      <c r="J1633" s="137"/>
      <c r="K1633" s="137"/>
      <c r="L1633" s="137"/>
      <c r="M1633" s="137"/>
      <c r="N1633" s="137"/>
      <c r="O1633" s="137"/>
      <c r="P1633" s="137"/>
      <c r="Q1633" s="137"/>
      <c r="R1633" s="137"/>
      <c r="S1633" s="137"/>
      <c r="T1633" s="137"/>
      <c r="U1633" s="137"/>
      <c r="V1633" s="137"/>
      <c r="W1633" s="137"/>
    </row>
    <row r="1634" spans="1:23" x14ac:dyDescent="0.25">
      <c r="A1634" s="137"/>
      <c r="B1634" s="137"/>
      <c r="C1634" s="137"/>
      <c r="D1634" s="137"/>
      <c r="E1634" s="137"/>
      <c r="F1634" s="137"/>
      <c r="G1634" s="137"/>
      <c r="H1634" s="137"/>
      <c r="I1634" s="137"/>
      <c r="J1634" s="137"/>
      <c r="K1634" s="137"/>
      <c r="L1634" s="137"/>
      <c r="M1634" s="137"/>
      <c r="N1634" s="137"/>
      <c r="O1634" s="137"/>
      <c r="P1634" s="137"/>
      <c r="Q1634" s="137"/>
      <c r="R1634" s="137"/>
      <c r="S1634" s="137"/>
      <c r="T1634" s="137"/>
      <c r="U1634" s="137"/>
      <c r="V1634" s="137"/>
      <c r="W1634" s="137"/>
    </row>
    <row r="1635" spans="1:23" x14ac:dyDescent="0.25">
      <c r="A1635" s="137"/>
      <c r="B1635" s="137"/>
      <c r="C1635" s="137"/>
      <c r="D1635" s="137"/>
      <c r="E1635" s="137"/>
      <c r="F1635" s="137"/>
      <c r="G1635" s="137"/>
      <c r="H1635" s="137"/>
      <c r="I1635" s="137"/>
      <c r="J1635" s="137"/>
      <c r="K1635" s="137"/>
      <c r="L1635" s="137"/>
      <c r="M1635" s="137"/>
      <c r="N1635" s="137"/>
      <c r="O1635" s="137"/>
      <c r="P1635" s="137"/>
      <c r="Q1635" s="137"/>
      <c r="R1635" s="137"/>
      <c r="S1635" s="137"/>
      <c r="T1635" s="137"/>
      <c r="U1635" s="137"/>
      <c r="V1635" s="137"/>
      <c r="W1635" s="137"/>
    </row>
    <row r="1636" spans="1:23" x14ac:dyDescent="0.25">
      <c r="A1636" s="137"/>
      <c r="B1636" s="137"/>
      <c r="C1636" s="137"/>
      <c r="D1636" s="137"/>
      <c r="E1636" s="137"/>
      <c r="F1636" s="137"/>
      <c r="G1636" s="137"/>
      <c r="H1636" s="137"/>
      <c r="I1636" s="137"/>
      <c r="J1636" s="137"/>
      <c r="K1636" s="137"/>
      <c r="L1636" s="137"/>
      <c r="M1636" s="137"/>
      <c r="N1636" s="137"/>
      <c r="O1636" s="137"/>
      <c r="P1636" s="137"/>
      <c r="Q1636" s="137"/>
      <c r="R1636" s="137"/>
      <c r="S1636" s="137"/>
      <c r="T1636" s="137"/>
      <c r="U1636" s="137"/>
      <c r="V1636" s="137"/>
      <c r="W1636" s="137"/>
    </row>
    <row r="1637" spans="1:23" x14ac:dyDescent="0.25">
      <c r="A1637" s="137"/>
      <c r="B1637" s="137"/>
      <c r="C1637" s="137"/>
      <c r="D1637" s="137"/>
      <c r="E1637" s="137"/>
      <c r="F1637" s="137"/>
      <c r="G1637" s="137"/>
      <c r="H1637" s="137"/>
      <c r="I1637" s="137"/>
      <c r="J1637" s="137"/>
      <c r="K1637" s="137"/>
      <c r="L1637" s="137"/>
      <c r="M1637" s="137"/>
      <c r="N1637" s="137"/>
      <c r="O1637" s="137"/>
      <c r="P1637" s="137"/>
      <c r="Q1637" s="137"/>
      <c r="R1637" s="137"/>
      <c r="S1637" s="137"/>
      <c r="T1637" s="137"/>
      <c r="U1637" s="137"/>
      <c r="V1637" s="137"/>
      <c r="W1637" s="137"/>
    </row>
    <row r="1638" spans="1:23" x14ac:dyDescent="0.25">
      <c r="A1638" s="137"/>
      <c r="B1638" s="137"/>
      <c r="C1638" s="137"/>
      <c r="D1638" s="137"/>
      <c r="E1638" s="137"/>
      <c r="F1638" s="137"/>
      <c r="G1638" s="137"/>
      <c r="H1638" s="137"/>
      <c r="I1638" s="137"/>
      <c r="J1638" s="137"/>
      <c r="K1638" s="137"/>
      <c r="L1638" s="137"/>
      <c r="M1638" s="137"/>
      <c r="N1638" s="137"/>
      <c r="O1638" s="137"/>
      <c r="P1638" s="137"/>
      <c r="Q1638" s="137"/>
      <c r="R1638" s="137"/>
      <c r="S1638" s="137"/>
      <c r="T1638" s="137"/>
      <c r="U1638" s="137"/>
      <c r="V1638" s="137"/>
      <c r="W1638" s="137"/>
    </row>
    <row r="1639" spans="1:23" x14ac:dyDescent="0.25">
      <c r="A1639" s="137"/>
      <c r="B1639" s="137"/>
      <c r="C1639" s="137"/>
      <c r="D1639" s="137"/>
      <c r="E1639" s="137"/>
      <c r="F1639" s="137"/>
      <c r="G1639" s="137"/>
      <c r="H1639" s="137"/>
      <c r="I1639" s="137"/>
      <c r="J1639" s="137"/>
      <c r="K1639" s="137"/>
      <c r="L1639" s="137"/>
      <c r="M1639" s="137"/>
      <c r="N1639" s="137"/>
      <c r="O1639" s="137"/>
      <c r="P1639" s="137"/>
      <c r="Q1639" s="137"/>
      <c r="R1639" s="137"/>
      <c r="S1639" s="137"/>
      <c r="T1639" s="137"/>
      <c r="U1639" s="137"/>
      <c r="V1639" s="137"/>
      <c r="W1639" s="137"/>
    </row>
    <row r="1640" spans="1:23" x14ac:dyDescent="0.25">
      <c r="A1640" s="137"/>
      <c r="B1640" s="137"/>
      <c r="C1640" s="137"/>
      <c r="D1640" s="137"/>
      <c r="E1640" s="137"/>
      <c r="F1640" s="137"/>
      <c r="G1640" s="137"/>
      <c r="H1640" s="137"/>
      <c r="I1640" s="137"/>
      <c r="J1640" s="137"/>
      <c r="K1640" s="137"/>
      <c r="L1640" s="137"/>
      <c r="M1640" s="137"/>
      <c r="N1640" s="137"/>
      <c r="O1640" s="137"/>
      <c r="P1640" s="137"/>
      <c r="Q1640" s="137"/>
      <c r="R1640" s="137"/>
      <c r="S1640" s="137"/>
      <c r="T1640" s="137"/>
      <c r="U1640" s="137"/>
      <c r="V1640" s="137"/>
      <c r="W1640" s="137"/>
    </row>
    <row r="1641" spans="1:23" x14ac:dyDescent="0.25">
      <c r="A1641" s="137"/>
      <c r="B1641" s="137"/>
      <c r="C1641" s="137"/>
      <c r="D1641" s="137"/>
      <c r="E1641" s="137"/>
      <c r="F1641" s="137"/>
      <c r="G1641" s="137"/>
      <c r="H1641" s="137"/>
      <c r="I1641" s="137"/>
      <c r="J1641" s="137"/>
      <c r="K1641" s="137"/>
      <c r="L1641" s="137"/>
      <c r="M1641" s="137"/>
      <c r="N1641" s="137"/>
      <c r="O1641" s="137"/>
      <c r="P1641" s="137"/>
      <c r="Q1641" s="137"/>
      <c r="R1641" s="137"/>
      <c r="S1641" s="137"/>
      <c r="T1641" s="137"/>
      <c r="U1641" s="137"/>
      <c r="V1641" s="137"/>
      <c r="W1641" s="137"/>
    </row>
    <row r="1642" spans="1:23" x14ac:dyDescent="0.25">
      <c r="A1642" s="137"/>
      <c r="B1642" s="137"/>
      <c r="C1642" s="137"/>
      <c r="D1642" s="137"/>
      <c r="E1642" s="137"/>
      <c r="F1642" s="137"/>
      <c r="G1642" s="137"/>
      <c r="H1642" s="137"/>
      <c r="I1642" s="137"/>
      <c r="J1642" s="137"/>
      <c r="K1642" s="137"/>
      <c r="L1642" s="137"/>
      <c r="M1642" s="137"/>
      <c r="N1642" s="137"/>
      <c r="O1642" s="137"/>
      <c r="P1642" s="137"/>
      <c r="Q1642" s="137"/>
      <c r="R1642" s="137"/>
      <c r="S1642" s="137"/>
      <c r="T1642" s="137"/>
      <c r="U1642" s="137"/>
      <c r="V1642" s="137"/>
      <c r="W1642" s="137"/>
    </row>
    <row r="1643" spans="1:23" x14ac:dyDescent="0.25">
      <c r="A1643" s="137"/>
      <c r="B1643" s="137"/>
      <c r="C1643" s="137"/>
      <c r="D1643" s="137"/>
      <c r="E1643" s="137"/>
      <c r="F1643" s="137"/>
      <c r="G1643" s="137"/>
      <c r="H1643" s="137"/>
      <c r="I1643" s="137"/>
      <c r="J1643" s="137"/>
      <c r="K1643" s="137"/>
      <c r="L1643" s="137"/>
      <c r="M1643" s="137"/>
      <c r="N1643" s="137"/>
      <c r="O1643" s="137"/>
      <c r="P1643" s="137"/>
      <c r="Q1643" s="137"/>
      <c r="R1643" s="137"/>
      <c r="S1643" s="137"/>
      <c r="T1643" s="137"/>
      <c r="U1643" s="137"/>
      <c r="V1643" s="137"/>
      <c r="W1643" s="137"/>
    </row>
    <row r="1644" spans="1:23" x14ac:dyDescent="0.25">
      <c r="A1644" s="137"/>
      <c r="B1644" s="137"/>
      <c r="C1644" s="137"/>
      <c r="D1644" s="137"/>
      <c r="E1644" s="137"/>
      <c r="F1644" s="137"/>
      <c r="G1644" s="137"/>
      <c r="H1644" s="137"/>
      <c r="I1644" s="137"/>
      <c r="J1644" s="137"/>
      <c r="K1644" s="137"/>
      <c r="L1644" s="137"/>
      <c r="M1644" s="137"/>
      <c r="N1644" s="137"/>
      <c r="O1644" s="137"/>
      <c r="P1644" s="137"/>
      <c r="Q1644" s="137"/>
      <c r="R1644" s="137"/>
      <c r="S1644" s="137"/>
      <c r="T1644" s="137"/>
      <c r="U1644" s="137"/>
      <c r="V1644" s="137"/>
      <c r="W1644" s="137"/>
    </row>
    <row r="1645" spans="1:23" x14ac:dyDescent="0.25">
      <c r="A1645" s="137"/>
      <c r="B1645" s="137"/>
      <c r="C1645" s="137"/>
      <c r="D1645" s="137"/>
      <c r="E1645" s="137"/>
      <c r="F1645" s="137"/>
      <c r="G1645" s="137"/>
      <c r="H1645" s="137"/>
      <c r="I1645" s="137"/>
      <c r="J1645" s="137"/>
      <c r="K1645" s="137"/>
      <c r="L1645" s="137"/>
      <c r="M1645" s="137"/>
      <c r="N1645" s="137"/>
      <c r="O1645" s="137"/>
      <c r="P1645" s="137"/>
      <c r="Q1645" s="137"/>
      <c r="R1645" s="137"/>
      <c r="S1645" s="137"/>
      <c r="T1645" s="137"/>
      <c r="U1645" s="137"/>
      <c r="V1645" s="137"/>
      <c r="W1645" s="137"/>
    </row>
    <row r="1646" spans="1:23" x14ac:dyDescent="0.25">
      <c r="A1646" s="137"/>
      <c r="B1646" s="137"/>
      <c r="C1646" s="137"/>
      <c r="D1646" s="137"/>
      <c r="E1646" s="137"/>
      <c r="F1646" s="137"/>
      <c r="G1646" s="137"/>
      <c r="H1646" s="137"/>
      <c r="I1646" s="137"/>
      <c r="J1646" s="137"/>
      <c r="K1646" s="137"/>
      <c r="L1646" s="137"/>
      <c r="M1646" s="137"/>
      <c r="N1646" s="137"/>
      <c r="O1646" s="137"/>
      <c r="P1646" s="137"/>
      <c r="Q1646" s="137"/>
      <c r="R1646" s="137"/>
      <c r="S1646" s="137"/>
      <c r="T1646" s="137"/>
      <c r="U1646" s="137"/>
      <c r="V1646" s="137"/>
      <c r="W1646" s="137"/>
    </row>
    <row r="1647" spans="1:23" x14ac:dyDescent="0.25">
      <c r="A1647" s="137"/>
      <c r="B1647" s="137"/>
      <c r="C1647" s="137"/>
      <c r="D1647" s="137"/>
      <c r="E1647" s="137"/>
      <c r="F1647" s="137"/>
      <c r="G1647" s="137"/>
      <c r="H1647" s="137"/>
      <c r="I1647" s="137"/>
      <c r="J1647" s="137"/>
      <c r="K1647" s="137"/>
      <c r="L1647" s="137"/>
      <c r="M1647" s="137"/>
      <c r="N1647" s="137"/>
      <c r="O1647" s="137"/>
      <c r="P1647" s="137"/>
      <c r="Q1647" s="137"/>
      <c r="R1647" s="137"/>
      <c r="S1647" s="137"/>
      <c r="T1647" s="137"/>
      <c r="U1647" s="137"/>
      <c r="V1647" s="137"/>
      <c r="W1647" s="137"/>
    </row>
    <row r="1648" spans="1:23" x14ac:dyDescent="0.25">
      <c r="A1648" s="137"/>
      <c r="B1648" s="137"/>
      <c r="C1648" s="137"/>
      <c r="D1648" s="137"/>
      <c r="E1648" s="137"/>
      <c r="F1648" s="137"/>
      <c r="G1648" s="137"/>
      <c r="H1648" s="137"/>
      <c r="I1648" s="137"/>
      <c r="J1648" s="137"/>
      <c r="K1648" s="137"/>
      <c r="L1648" s="137"/>
      <c r="M1648" s="137"/>
      <c r="N1648" s="137"/>
      <c r="O1648" s="137"/>
      <c r="P1648" s="137"/>
      <c r="Q1648" s="137"/>
      <c r="R1648" s="137"/>
      <c r="S1648" s="137"/>
      <c r="T1648" s="137"/>
      <c r="U1648" s="137"/>
      <c r="V1648" s="137"/>
      <c r="W1648" s="137"/>
    </row>
    <row r="1649" spans="1:23" x14ac:dyDescent="0.25">
      <c r="A1649" s="137"/>
      <c r="B1649" s="137"/>
      <c r="C1649" s="137"/>
      <c r="D1649" s="137"/>
      <c r="E1649" s="137"/>
      <c r="F1649" s="137"/>
      <c r="G1649" s="137"/>
      <c r="H1649" s="137"/>
      <c r="I1649" s="137"/>
      <c r="J1649" s="137"/>
      <c r="K1649" s="137"/>
      <c r="L1649" s="137"/>
      <c r="M1649" s="137"/>
      <c r="N1649" s="137"/>
      <c r="O1649" s="137"/>
      <c r="P1649" s="137"/>
      <c r="Q1649" s="137"/>
      <c r="R1649" s="137"/>
      <c r="S1649" s="137"/>
      <c r="T1649" s="137"/>
      <c r="U1649" s="137"/>
      <c r="V1649" s="137"/>
      <c r="W1649" s="137"/>
    </row>
    <row r="1650" spans="1:23" x14ac:dyDescent="0.25">
      <c r="A1650" s="137"/>
      <c r="B1650" s="137"/>
      <c r="C1650" s="137"/>
      <c r="D1650" s="137"/>
      <c r="E1650" s="137"/>
      <c r="F1650" s="137"/>
      <c r="G1650" s="137"/>
      <c r="H1650" s="137"/>
      <c r="I1650" s="137"/>
      <c r="J1650" s="137"/>
      <c r="K1650" s="137"/>
      <c r="L1650" s="137"/>
      <c r="M1650" s="137"/>
      <c r="N1650" s="137"/>
      <c r="O1650" s="137"/>
      <c r="P1650" s="137"/>
      <c r="Q1650" s="137"/>
      <c r="R1650" s="137"/>
      <c r="S1650" s="137"/>
      <c r="T1650" s="137"/>
      <c r="U1650" s="137"/>
      <c r="V1650" s="137"/>
      <c r="W1650" s="137"/>
    </row>
    <row r="1651" spans="1:23" x14ac:dyDescent="0.25">
      <c r="A1651" s="137"/>
      <c r="B1651" s="137"/>
      <c r="C1651" s="137"/>
      <c r="D1651" s="137"/>
      <c r="E1651" s="137"/>
      <c r="F1651" s="137"/>
      <c r="G1651" s="137"/>
      <c r="H1651" s="137"/>
      <c r="I1651" s="137"/>
      <c r="J1651" s="137"/>
      <c r="K1651" s="137"/>
      <c r="L1651" s="137"/>
      <c r="M1651" s="137"/>
      <c r="N1651" s="137"/>
      <c r="O1651" s="137"/>
      <c r="P1651" s="137"/>
      <c r="Q1651" s="137"/>
      <c r="R1651" s="137"/>
      <c r="S1651" s="137"/>
      <c r="T1651" s="137"/>
      <c r="U1651" s="137"/>
      <c r="V1651" s="137"/>
      <c r="W1651" s="137"/>
    </row>
    <row r="1652" spans="1:23" x14ac:dyDescent="0.25">
      <c r="A1652" s="137"/>
      <c r="B1652" s="137"/>
      <c r="C1652" s="137"/>
      <c r="D1652" s="137"/>
      <c r="E1652" s="137"/>
      <c r="F1652" s="137"/>
      <c r="G1652" s="137"/>
      <c r="H1652" s="137"/>
      <c r="I1652" s="137"/>
      <c r="J1652" s="137"/>
      <c r="K1652" s="137"/>
      <c r="L1652" s="137"/>
      <c r="M1652" s="137"/>
      <c r="N1652" s="137"/>
      <c r="O1652" s="137"/>
      <c r="P1652" s="137"/>
      <c r="Q1652" s="137"/>
      <c r="R1652" s="137"/>
      <c r="S1652" s="137"/>
      <c r="T1652" s="137"/>
      <c r="U1652" s="137"/>
      <c r="V1652" s="137"/>
      <c r="W1652" s="137"/>
    </row>
    <row r="1653" spans="1:23" x14ac:dyDescent="0.25">
      <c r="A1653" s="137"/>
      <c r="B1653" s="137"/>
      <c r="C1653" s="137"/>
      <c r="D1653" s="137"/>
      <c r="E1653" s="137"/>
      <c r="F1653" s="137"/>
      <c r="G1653" s="137"/>
      <c r="H1653" s="137"/>
      <c r="I1653" s="137"/>
      <c r="J1653" s="137"/>
      <c r="K1653" s="137"/>
      <c r="L1653" s="137"/>
      <c r="M1653" s="137"/>
      <c r="N1653" s="137"/>
      <c r="O1653" s="137"/>
      <c r="P1653" s="137"/>
      <c r="Q1653" s="137"/>
      <c r="R1653" s="137"/>
      <c r="S1653" s="137"/>
      <c r="T1653" s="137"/>
      <c r="U1653" s="137"/>
      <c r="V1653" s="137"/>
      <c r="W1653" s="137"/>
    </row>
    <row r="1654" spans="1:23" x14ac:dyDescent="0.25">
      <c r="A1654" s="137"/>
      <c r="B1654" s="137"/>
      <c r="C1654" s="137"/>
      <c r="D1654" s="137"/>
      <c r="E1654" s="137"/>
      <c r="F1654" s="137"/>
      <c r="G1654" s="137"/>
      <c r="H1654" s="137"/>
      <c r="I1654" s="137"/>
      <c r="J1654" s="137"/>
      <c r="K1654" s="137"/>
      <c r="L1654" s="137"/>
      <c r="M1654" s="137"/>
      <c r="N1654" s="137"/>
      <c r="O1654" s="137"/>
      <c r="P1654" s="137"/>
      <c r="Q1654" s="137"/>
      <c r="R1654" s="137"/>
      <c r="S1654" s="137"/>
      <c r="T1654" s="137"/>
      <c r="U1654" s="137"/>
      <c r="V1654" s="137"/>
      <c r="W1654" s="137"/>
    </row>
    <row r="1655" spans="1:23" x14ac:dyDescent="0.25">
      <c r="A1655" s="137"/>
      <c r="B1655" s="137"/>
      <c r="C1655" s="137"/>
      <c r="D1655" s="137"/>
      <c r="E1655" s="137"/>
      <c r="F1655" s="137"/>
      <c r="G1655" s="137"/>
      <c r="H1655" s="137"/>
      <c r="I1655" s="137"/>
      <c r="J1655" s="137"/>
      <c r="K1655" s="137"/>
      <c r="L1655" s="137"/>
      <c r="M1655" s="137"/>
      <c r="N1655" s="137"/>
      <c r="O1655" s="137"/>
      <c r="P1655" s="137"/>
      <c r="Q1655" s="137"/>
      <c r="R1655" s="137"/>
      <c r="S1655" s="137"/>
      <c r="T1655" s="137"/>
      <c r="U1655" s="137"/>
      <c r="V1655" s="137"/>
      <c r="W1655" s="137"/>
    </row>
    <row r="1656" spans="1:23" x14ac:dyDescent="0.25">
      <c r="A1656" s="137"/>
      <c r="B1656" s="137"/>
      <c r="C1656" s="137"/>
      <c r="D1656" s="137"/>
      <c r="E1656" s="137"/>
      <c r="F1656" s="137"/>
      <c r="G1656" s="137"/>
      <c r="H1656" s="137"/>
      <c r="I1656" s="137"/>
      <c r="J1656" s="137"/>
      <c r="K1656" s="137"/>
      <c r="L1656" s="137"/>
      <c r="M1656" s="137"/>
      <c r="N1656" s="137"/>
      <c r="O1656" s="137"/>
      <c r="P1656" s="137"/>
      <c r="Q1656" s="137"/>
      <c r="R1656" s="137"/>
      <c r="S1656" s="137"/>
      <c r="T1656" s="137"/>
      <c r="U1656" s="137"/>
      <c r="V1656" s="137"/>
      <c r="W1656" s="137"/>
    </row>
    <row r="1657" spans="1:23" x14ac:dyDescent="0.25">
      <c r="A1657" s="137"/>
      <c r="B1657" s="137"/>
      <c r="C1657" s="137"/>
      <c r="D1657" s="137"/>
      <c r="E1657" s="137"/>
      <c r="F1657" s="137"/>
      <c r="G1657" s="137"/>
      <c r="H1657" s="137"/>
      <c r="I1657" s="137"/>
      <c r="J1657" s="137"/>
      <c r="K1657" s="137"/>
      <c r="L1657" s="137"/>
      <c r="M1657" s="137"/>
      <c r="N1657" s="137"/>
      <c r="O1657" s="137"/>
      <c r="P1657" s="137"/>
      <c r="Q1657" s="137"/>
      <c r="R1657" s="137"/>
      <c r="S1657" s="137"/>
      <c r="T1657" s="137"/>
      <c r="U1657" s="137"/>
      <c r="V1657" s="137"/>
      <c r="W1657" s="137"/>
    </row>
    <row r="1658" spans="1:23" x14ac:dyDescent="0.25">
      <c r="A1658" s="137"/>
      <c r="B1658" s="137"/>
      <c r="C1658" s="137"/>
      <c r="D1658" s="137"/>
      <c r="E1658" s="137"/>
      <c r="F1658" s="137"/>
      <c r="G1658" s="137"/>
      <c r="H1658" s="137"/>
      <c r="I1658" s="137"/>
      <c r="J1658" s="137"/>
      <c r="K1658" s="137"/>
      <c r="L1658" s="137"/>
      <c r="M1658" s="137"/>
      <c r="N1658" s="137"/>
      <c r="O1658" s="137"/>
      <c r="P1658" s="137"/>
      <c r="Q1658" s="137"/>
      <c r="R1658" s="137"/>
      <c r="S1658" s="137"/>
      <c r="T1658" s="137"/>
      <c r="U1658" s="137"/>
      <c r="V1658" s="137"/>
      <c r="W1658" s="137"/>
    </row>
    <row r="1659" spans="1:23" x14ac:dyDescent="0.25">
      <c r="A1659" s="137"/>
      <c r="B1659" s="137"/>
      <c r="C1659" s="137"/>
      <c r="D1659" s="137"/>
      <c r="E1659" s="137"/>
      <c r="F1659" s="137"/>
      <c r="G1659" s="137"/>
      <c r="H1659" s="137"/>
      <c r="I1659" s="137"/>
      <c r="J1659" s="137"/>
      <c r="K1659" s="137"/>
      <c r="L1659" s="137"/>
      <c r="M1659" s="137"/>
      <c r="N1659" s="137"/>
      <c r="O1659" s="137"/>
      <c r="P1659" s="137"/>
      <c r="Q1659" s="137"/>
      <c r="R1659" s="137"/>
      <c r="S1659" s="137"/>
      <c r="T1659" s="137"/>
      <c r="U1659" s="137"/>
      <c r="V1659" s="137"/>
      <c r="W1659" s="137"/>
    </row>
    <row r="1660" spans="1:23" x14ac:dyDescent="0.25">
      <c r="A1660" s="137"/>
      <c r="B1660" s="137"/>
      <c r="C1660" s="137"/>
      <c r="D1660" s="137"/>
      <c r="E1660" s="137"/>
      <c r="F1660" s="137"/>
      <c r="G1660" s="137"/>
      <c r="H1660" s="137"/>
      <c r="I1660" s="137"/>
      <c r="J1660" s="137"/>
      <c r="K1660" s="137"/>
      <c r="L1660" s="137"/>
      <c r="M1660" s="137"/>
      <c r="N1660" s="137"/>
      <c r="O1660" s="137"/>
      <c r="P1660" s="137"/>
      <c r="Q1660" s="137"/>
      <c r="R1660" s="137"/>
      <c r="S1660" s="137"/>
      <c r="T1660" s="137"/>
      <c r="U1660" s="137"/>
      <c r="V1660" s="137"/>
      <c r="W1660" s="137"/>
    </row>
    <row r="1661" spans="1:23" x14ac:dyDescent="0.25">
      <c r="A1661" s="137"/>
      <c r="B1661" s="137"/>
      <c r="C1661" s="137"/>
      <c r="D1661" s="137"/>
      <c r="E1661" s="137"/>
      <c r="F1661" s="137"/>
      <c r="G1661" s="137"/>
      <c r="H1661" s="137"/>
      <c r="I1661" s="137"/>
      <c r="J1661" s="137"/>
      <c r="K1661" s="137"/>
      <c r="L1661" s="137"/>
      <c r="M1661" s="137"/>
      <c r="N1661" s="137"/>
      <c r="O1661" s="137"/>
      <c r="P1661" s="137"/>
      <c r="Q1661" s="137"/>
      <c r="R1661" s="137"/>
      <c r="S1661" s="137"/>
      <c r="T1661" s="137"/>
      <c r="U1661" s="137"/>
      <c r="V1661" s="137"/>
      <c r="W1661" s="137"/>
    </row>
    <row r="1662" spans="1:23" x14ac:dyDescent="0.25">
      <c r="A1662" s="137"/>
      <c r="B1662" s="137"/>
      <c r="C1662" s="137"/>
      <c r="D1662" s="137"/>
      <c r="E1662" s="137"/>
      <c r="F1662" s="137"/>
      <c r="G1662" s="137"/>
      <c r="H1662" s="137"/>
      <c r="I1662" s="137"/>
      <c r="J1662" s="137"/>
      <c r="K1662" s="137"/>
      <c r="L1662" s="137"/>
      <c r="M1662" s="137"/>
      <c r="N1662" s="137"/>
      <c r="O1662" s="137"/>
      <c r="P1662" s="137"/>
      <c r="Q1662" s="137"/>
      <c r="R1662" s="137"/>
      <c r="S1662" s="137"/>
      <c r="T1662" s="137"/>
      <c r="U1662" s="137"/>
      <c r="V1662" s="137"/>
      <c r="W1662" s="137"/>
    </row>
    <row r="1663" spans="1:23" x14ac:dyDescent="0.25">
      <c r="A1663" s="137"/>
      <c r="B1663" s="137"/>
      <c r="C1663" s="137"/>
      <c r="D1663" s="137"/>
      <c r="E1663" s="137"/>
      <c r="F1663" s="137"/>
      <c r="G1663" s="137"/>
      <c r="H1663" s="137"/>
      <c r="I1663" s="137"/>
      <c r="J1663" s="137"/>
      <c r="K1663" s="137"/>
      <c r="L1663" s="137"/>
      <c r="M1663" s="137"/>
      <c r="N1663" s="137"/>
      <c r="O1663" s="137"/>
      <c r="P1663" s="137"/>
      <c r="Q1663" s="137"/>
      <c r="R1663" s="137"/>
      <c r="S1663" s="137"/>
      <c r="T1663" s="137"/>
      <c r="U1663" s="137"/>
      <c r="V1663" s="137"/>
      <c r="W1663" s="137"/>
    </row>
    <row r="1664" spans="1:23" x14ac:dyDescent="0.25">
      <c r="A1664" s="137"/>
      <c r="B1664" s="137"/>
      <c r="C1664" s="137"/>
      <c r="D1664" s="137"/>
      <c r="E1664" s="137"/>
      <c r="F1664" s="137"/>
      <c r="G1664" s="137"/>
      <c r="H1664" s="137"/>
      <c r="I1664" s="137"/>
      <c r="J1664" s="137"/>
      <c r="K1664" s="137"/>
      <c r="L1664" s="137"/>
      <c r="M1664" s="137"/>
      <c r="N1664" s="137"/>
      <c r="O1664" s="137"/>
      <c r="P1664" s="137"/>
      <c r="Q1664" s="137"/>
      <c r="R1664" s="137"/>
      <c r="S1664" s="137"/>
      <c r="T1664" s="137"/>
      <c r="U1664" s="137"/>
      <c r="V1664" s="137"/>
      <c r="W1664" s="137"/>
    </row>
    <row r="1665" spans="1:23" x14ac:dyDescent="0.25">
      <c r="A1665" s="137"/>
      <c r="B1665" s="137"/>
      <c r="C1665" s="137"/>
      <c r="D1665" s="137"/>
      <c r="E1665" s="137"/>
      <c r="F1665" s="137"/>
      <c r="G1665" s="137"/>
      <c r="H1665" s="137"/>
      <c r="I1665" s="137"/>
      <c r="J1665" s="137"/>
      <c r="K1665" s="137"/>
      <c r="L1665" s="137"/>
      <c r="M1665" s="137"/>
      <c r="N1665" s="137"/>
      <c r="O1665" s="137"/>
      <c r="P1665" s="137"/>
      <c r="Q1665" s="137"/>
      <c r="R1665" s="137"/>
      <c r="S1665" s="137"/>
      <c r="T1665" s="137"/>
      <c r="U1665" s="137"/>
      <c r="V1665" s="137"/>
      <c r="W1665" s="137"/>
    </row>
    <row r="1666" spans="1:23" x14ac:dyDescent="0.25">
      <c r="A1666" s="137"/>
      <c r="B1666" s="137"/>
      <c r="C1666" s="137"/>
      <c r="D1666" s="137"/>
      <c r="E1666" s="137"/>
      <c r="F1666" s="137"/>
      <c r="G1666" s="137"/>
      <c r="H1666" s="137"/>
      <c r="I1666" s="137"/>
      <c r="J1666" s="137"/>
      <c r="K1666" s="137"/>
      <c r="L1666" s="137"/>
      <c r="M1666" s="137"/>
      <c r="N1666" s="137"/>
      <c r="O1666" s="137"/>
      <c r="P1666" s="137"/>
      <c r="Q1666" s="137"/>
      <c r="R1666" s="137"/>
      <c r="S1666" s="137"/>
      <c r="T1666" s="137"/>
      <c r="U1666" s="137"/>
      <c r="V1666" s="137"/>
      <c r="W1666" s="137"/>
    </row>
    <row r="1667" spans="1:23" x14ac:dyDescent="0.25">
      <c r="A1667" s="137"/>
      <c r="B1667" s="137"/>
      <c r="C1667" s="137"/>
      <c r="D1667" s="137"/>
      <c r="E1667" s="137"/>
      <c r="F1667" s="137"/>
      <c r="G1667" s="137"/>
      <c r="H1667" s="137"/>
      <c r="I1667" s="137"/>
      <c r="J1667" s="137"/>
      <c r="K1667" s="137"/>
      <c r="L1667" s="137"/>
      <c r="M1667" s="137"/>
      <c r="N1667" s="137"/>
      <c r="O1667" s="137"/>
      <c r="P1667" s="137"/>
      <c r="Q1667" s="137"/>
      <c r="R1667" s="137"/>
      <c r="S1667" s="137"/>
      <c r="T1667" s="137"/>
      <c r="U1667" s="137"/>
      <c r="V1667" s="137"/>
      <c r="W1667" s="137"/>
    </row>
    <row r="1668" spans="1:23" x14ac:dyDescent="0.25">
      <c r="A1668" s="137"/>
      <c r="B1668" s="137"/>
      <c r="C1668" s="137"/>
      <c r="D1668" s="137"/>
      <c r="E1668" s="137"/>
      <c r="F1668" s="137"/>
      <c r="G1668" s="137"/>
      <c r="H1668" s="137"/>
      <c r="I1668" s="137"/>
      <c r="J1668" s="137"/>
      <c r="K1668" s="137"/>
      <c r="L1668" s="137"/>
      <c r="M1668" s="137"/>
      <c r="N1668" s="137"/>
      <c r="O1668" s="137"/>
      <c r="P1668" s="137"/>
      <c r="Q1668" s="137"/>
      <c r="R1668" s="137"/>
      <c r="S1668" s="137"/>
      <c r="T1668" s="137"/>
      <c r="U1668" s="137"/>
      <c r="V1668" s="137"/>
      <c r="W1668" s="137"/>
    </row>
    <row r="1669" spans="1:23" x14ac:dyDescent="0.25">
      <c r="A1669" s="137"/>
      <c r="B1669" s="137"/>
      <c r="C1669" s="137"/>
      <c r="D1669" s="137"/>
      <c r="E1669" s="137"/>
      <c r="F1669" s="137"/>
      <c r="G1669" s="137"/>
      <c r="H1669" s="137"/>
      <c r="I1669" s="137"/>
      <c r="J1669" s="137"/>
      <c r="K1669" s="137"/>
      <c r="L1669" s="137"/>
      <c r="M1669" s="137"/>
      <c r="N1669" s="137"/>
      <c r="O1669" s="137"/>
      <c r="P1669" s="137"/>
      <c r="Q1669" s="137"/>
      <c r="R1669" s="137"/>
      <c r="S1669" s="137"/>
      <c r="T1669" s="137"/>
      <c r="U1669" s="137"/>
      <c r="V1669" s="137"/>
      <c r="W1669" s="137"/>
    </row>
    <row r="1670" spans="1:23" x14ac:dyDescent="0.25">
      <c r="A1670" s="137"/>
      <c r="B1670" s="137"/>
      <c r="C1670" s="137"/>
      <c r="D1670" s="137"/>
      <c r="E1670" s="137"/>
      <c r="F1670" s="137"/>
      <c r="G1670" s="137"/>
      <c r="H1670" s="137"/>
      <c r="I1670" s="137"/>
      <c r="J1670" s="137"/>
      <c r="K1670" s="137"/>
      <c r="L1670" s="137"/>
      <c r="M1670" s="137"/>
      <c r="N1670" s="137"/>
      <c r="O1670" s="137"/>
      <c r="P1670" s="137"/>
      <c r="Q1670" s="137"/>
      <c r="R1670" s="137"/>
      <c r="S1670" s="137"/>
      <c r="T1670" s="137"/>
      <c r="U1670" s="137"/>
      <c r="V1670" s="137"/>
      <c r="W1670" s="137"/>
    </row>
    <row r="1671" spans="1:23" x14ac:dyDescent="0.25">
      <c r="A1671" s="137"/>
      <c r="B1671" s="137"/>
      <c r="C1671" s="137"/>
      <c r="D1671" s="137"/>
      <c r="E1671" s="137"/>
      <c r="F1671" s="137"/>
      <c r="G1671" s="137"/>
      <c r="H1671" s="137"/>
      <c r="I1671" s="137"/>
      <c r="J1671" s="137"/>
      <c r="K1671" s="137"/>
      <c r="L1671" s="137"/>
      <c r="M1671" s="137"/>
      <c r="N1671" s="137"/>
      <c r="O1671" s="137"/>
      <c r="P1671" s="137"/>
      <c r="Q1671" s="137"/>
      <c r="R1671" s="137"/>
      <c r="S1671" s="137"/>
      <c r="T1671" s="137"/>
      <c r="U1671" s="137"/>
      <c r="V1671" s="137"/>
      <c r="W1671" s="137"/>
    </row>
    <row r="1672" spans="1:23" x14ac:dyDescent="0.25">
      <c r="A1672" s="137"/>
      <c r="B1672" s="137"/>
      <c r="C1672" s="137"/>
      <c r="D1672" s="137"/>
      <c r="E1672" s="137"/>
      <c r="F1672" s="137"/>
      <c r="G1672" s="137"/>
      <c r="H1672" s="137"/>
      <c r="I1672" s="137"/>
      <c r="J1672" s="137"/>
      <c r="K1672" s="137"/>
      <c r="L1672" s="137"/>
      <c r="M1672" s="137"/>
      <c r="N1672" s="137"/>
      <c r="O1672" s="137"/>
      <c r="P1672" s="137"/>
      <c r="Q1672" s="137"/>
      <c r="R1672" s="137"/>
      <c r="S1672" s="137"/>
      <c r="T1672" s="137"/>
      <c r="U1672" s="137"/>
      <c r="V1672" s="137"/>
      <c r="W1672" s="137"/>
    </row>
    <row r="1673" spans="1:23" x14ac:dyDescent="0.25">
      <c r="A1673" s="137"/>
      <c r="B1673" s="137"/>
      <c r="C1673" s="137"/>
      <c r="D1673" s="137"/>
      <c r="E1673" s="137"/>
      <c r="F1673" s="137"/>
      <c r="G1673" s="137"/>
      <c r="H1673" s="137"/>
      <c r="I1673" s="137"/>
      <c r="J1673" s="137"/>
      <c r="K1673" s="137"/>
      <c r="L1673" s="137"/>
      <c r="M1673" s="137"/>
      <c r="N1673" s="137"/>
      <c r="O1673" s="137"/>
      <c r="P1673" s="137"/>
      <c r="Q1673" s="137"/>
      <c r="R1673" s="137"/>
      <c r="S1673" s="137"/>
      <c r="T1673" s="137"/>
      <c r="U1673" s="137"/>
      <c r="V1673" s="137"/>
      <c r="W1673" s="137"/>
    </row>
    <row r="1674" spans="1:23" x14ac:dyDescent="0.25">
      <c r="A1674" s="137"/>
      <c r="B1674" s="137"/>
      <c r="C1674" s="137"/>
      <c r="D1674" s="137"/>
      <c r="E1674" s="137"/>
      <c r="F1674" s="137"/>
      <c r="G1674" s="137"/>
      <c r="H1674" s="137"/>
      <c r="I1674" s="137"/>
      <c r="J1674" s="137"/>
      <c r="K1674" s="137"/>
      <c r="L1674" s="137"/>
      <c r="M1674" s="137"/>
      <c r="N1674" s="137"/>
      <c r="O1674" s="137"/>
      <c r="P1674" s="137"/>
      <c r="Q1674" s="137"/>
      <c r="R1674" s="137"/>
      <c r="S1674" s="137"/>
      <c r="T1674" s="137"/>
      <c r="U1674" s="137"/>
      <c r="V1674" s="137"/>
      <c r="W1674" s="137"/>
    </row>
    <row r="1675" spans="1:23" x14ac:dyDescent="0.25">
      <c r="A1675" s="137"/>
      <c r="B1675" s="137"/>
      <c r="C1675" s="137"/>
      <c r="D1675" s="137"/>
      <c r="E1675" s="137"/>
      <c r="F1675" s="137"/>
      <c r="G1675" s="137"/>
      <c r="H1675" s="137"/>
      <c r="I1675" s="137"/>
      <c r="J1675" s="137"/>
      <c r="K1675" s="137"/>
      <c r="L1675" s="137"/>
      <c r="M1675" s="137"/>
      <c r="N1675" s="137"/>
      <c r="O1675" s="137"/>
      <c r="P1675" s="137"/>
      <c r="Q1675" s="137"/>
      <c r="R1675" s="137"/>
      <c r="S1675" s="137"/>
      <c r="T1675" s="137"/>
      <c r="U1675" s="137"/>
      <c r="V1675" s="137"/>
      <c r="W1675" s="137"/>
    </row>
    <row r="1676" spans="1:23" x14ac:dyDescent="0.25">
      <c r="A1676" s="137"/>
      <c r="B1676" s="137"/>
      <c r="C1676" s="137"/>
      <c r="D1676" s="137"/>
      <c r="E1676" s="137"/>
      <c r="F1676" s="137"/>
      <c r="G1676" s="137"/>
      <c r="H1676" s="137"/>
      <c r="I1676" s="137"/>
      <c r="J1676" s="137"/>
      <c r="K1676" s="137"/>
      <c r="L1676" s="137"/>
      <c r="M1676" s="137"/>
      <c r="N1676" s="137"/>
      <c r="O1676" s="137"/>
      <c r="P1676" s="137"/>
      <c r="Q1676" s="137"/>
      <c r="R1676" s="137"/>
      <c r="S1676" s="137"/>
      <c r="T1676" s="137"/>
      <c r="U1676" s="137"/>
      <c r="V1676" s="137"/>
      <c r="W1676" s="137"/>
    </row>
    <row r="1677" spans="1:23" x14ac:dyDescent="0.25">
      <c r="A1677" s="137"/>
      <c r="B1677" s="137"/>
      <c r="C1677" s="137"/>
      <c r="D1677" s="137"/>
      <c r="E1677" s="137"/>
      <c r="F1677" s="137"/>
      <c r="G1677" s="137"/>
      <c r="H1677" s="137"/>
      <c r="I1677" s="137"/>
      <c r="J1677" s="137"/>
      <c r="K1677" s="137"/>
      <c r="L1677" s="137"/>
      <c r="M1677" s="137"/>
      <c r="N1677" s="137"/>
      <c r="O1677" s="137"/>
      <c r="P1677" s="137"/>
      <c r="Q1677" s="137"/>
      <c r="R1677" s="137"/>
      <c r="S1677" s="137"/>
      <c r="T1677" s="137"/>
      <c r="U1677" s="137"/>
      <c r="V1677" s="137"/>
      <c r="W1677" s="137"/>
    </row>
    <row r="1678" spans="1:23" x14ac:dyDescent="0.25">
      <c r="A1678" s="137"/>
      <c r="B1678" s="137"/>
      <c r="C1678" s="137"/>
      <c r="D1678" s="137"/>
      <c r="E1678" s="137"/>
      <c r="F1678" s="137"/>
      <c r="G1678" s="137"/>
      <c r="H1678" s="137"/>
      <c r="I1678" s="137"/>
      <c r="J1678" s="137"/>
      <c r="K1678" s="137"/>
      <c r="L1678" s="137"/>
      <c r="M1678" s="137"/>
      <c r="N1678" s="137"/>
      <c r="O1678" s="137"/>
      <c r="P1678" s="137"/>
      <c r="Q1678" s="137"/>
      <c r="R1678" s="137"/>
      <c r="S1678" s="137"/>
      <c r="T1678" s="137"/>
      <c r="U1678" s="137"/>
      <c r="V1678" s="137"/>
      <c r="W1678" s="137"/>
    </row>
    <row r="1679" spans="1:23" x14ac:dyDescent="0.25">
      <c r="A1679" s="137"/>
      <c r="B1679" s="137"/>
      <c r="C1679" s="137"/>
      <c r="D1679" s="137"/>
      <c r="E1679" s="137"/>
      <c r="F1679" s="137"/>
      <c r="G1679" s="137"/>
      <c r="H1679" s="137"/>
      <c r="I1679" s="137"/>
      <c r="J1679" s="137"/>
      <c r="K1679" s="137"/>
      <c r="L1679" s="137"/>
      <c r="M1679" s="137"/>
      <c r="N1679" s="137"/>
      <c r="O1679" s="137"/>
      <c r="P1679" s="137"/>
      <c r="Q1679" s="137"/>
      <c r="R1679" s="137"/>
      <c r="S1679" s="137"/>
      <c r="T1679" s="137"/>
      <c r="U1679" s="137"/>
      <c r="V1679" s="137"/>
      <c r="W1679" s="137"/>
    </row>
    <row r="1680" spans="1:23" x14ac:dyDescent="0.25">
      <c r="A1680" s="137"/>
      <c r="B1680" s="137"/>
      <c r="C1680" s="137"/>
      <c r="D1680" s="137"/>
      <c r="E1680" s="137"/>
      <c r="F1680" s="137"/>
      <c r="G1680" s="137"/>
      <c r="H1680" s="137"/>
      <c r="I1680" s="137"/>
      <c r="J1680" s="137"/>
      <c r="K1680" s="137"/>
      <c r="L1680" s="137"/>
      <c r="M1680" s="137"/>
      <c r="N1680" s="137"/>
      <c r="O1680" s="137"/>
      <c r="P1680" s="137"/>
      <c r="Q1680" s="137"/>
      <c r="R1680" s="137"/>
      <c r="S1680" s="137"/>
      <c r="T1680" s="137"/>
      <c r="U1680" s="137"/>
      <c r="V1680" s="137"/>
      <c r="W1680" s="137"/>
    </row>
    <row r="1681" spans="1:23" x14ac:dyDescent="0.25">
      <c r="A1681" s="137"/>
      <c r="B1681" s="137"/>
      <c r="C1681" s="137"/>
      <c r="D1681" s="137"/>
      <c r="E1681" s="137"/>
      <c r="F1681" s="137"/>
      <c r="G1681" s="137"/>
      <c r="H1681" s="137"/>
      <c r="I1681" s="137"/>
      <c r="J1681" s="137"/>
      <c r="K1681" s="137"/>
      <c r="L1681" s="137"/>
      <c r="M1681" s="137"/>
      <c r="N1681" s="137"/>
      <c r="O1681" s="137"/>
      <c r="P1681" s="137"/>
      <c r="Q1681" s="137"/>
      <c r="R1681" s="137"/>
      <c r="S1681" s="137"/>
      <c r="T1681" s="137"/>
      <c r="U1681" s="137"/>
      <c r="V1681" s="137"/>
      <c r="W1681" s="137"/>
    </row>
    <row r="1682" spans="1:23" x14ac:dyDescent="0.25">
      <c r="A1682" s="137"/>
      <c r="B1682" s="137"/>
      <c r="C1682" s="137"/>
      <c r="D1682" s="137"/>
      <c r="E1682" s="137"/>
      <c r="F1682" s="137"/>
      <c r="G1682" s="137"/>
      <c r="H1682" s="137"/>
      <c r="I1682" s="137"/>
      <c r="J1682" s="137"/>
      <c r="K1682" s="137"/>
      <c r="L1682" s="137"/>
      <c r="M1682" s="137"/>
      <c r="N1682" s="137"/>
      <c r="O1682" s="137"/>
      <c r="P1682" s="137"/>
      <c r="Q1682" s="137"/>
      <c r="R1682" s="137"/>
      <c r="S1682" s="137"/>
      <c r="T1682" s="137"/>
      <c r="U1682" s="137"/>
      <c r="V1682" s="137"/>
      <c r="W1682" s="137"/>
    </row>
    <row r="1683" spans="1:23" x14ac:dyDescent="0.25">
      <c r="A1683" s="137"/>
      <c r="B1683" s="137"/>
      <c r="C1683" s="137"/>
      <c r="D1683" s="137"/>
      <c r="E1683" s="137"/>
      <c r="F1683" s="137"/>
      <c r="G1683" s="137"/>
      <c r="H1683" s="137"/>
      <c r="I1683" s="137"/>
      <c r="J1683" s="137"/>
      <c r="K1683" s="137"/>
      <c r="L1683" s="137"/>
      <c r="M1683" s="137"/>
      <c r="N1683" s="137"/>
      <c r="O1683" s="137"/>
      <c r="P1683" s="137"/>
      <c r="Q1683" s="137"/>
      <c r="R1683" s="137"/>
      <c r="S1683" s="137"/>
      <c r="T1683" s="137"/>
      <c r="U1683" s="137"/>
      <c r="V1683" s="137"/>
      <c r="W1683" s="137"/>
    </row>
    <row r="1684" spans="1:23" x14ac:dyDescent="0.25">
      <c r="A1684" s="137"/>
      <c r="B1684" s="137"/>
      <c r="C1684" s="137"/>
      <c r="D1684" s="137"/>
      <c r="E1684" s="137"/>
      <c r="F1684" s="137"/>
      <c r="G1684" s="137"/>
      <c r="H1684" s="137"/>
      <c r="I1684" s="137"/>
      <c r="J1684" s="137"/>
      <c r="K1684" s="137"/>
      <c r="L1684" s="137"/>
      <c r="M1684" s="137"/>
      <c r="N1684" s="137"/>
      <c r="O1684" s="137"/>
      <c r="P1684" s="137"/>
      <c r="Q1684" s="137"/>
      <c r="R1684" s="137"/>
      <c r="S1684" s="137"/>
      <c r="T1684" s="137"/>
      <c r="U1684" s="137"/>
      <c r="V1684" s="137"/>
      <c r="W1684" s="137"/>
    </row>
    <row r="1685" spans="1:23" x14ac:dyDescent="0.25">
      <c r="A1685" s="137"/>
      <c r="B1685" s="137"/>
      <c r="C1685" s="137"/>
      <c r="D1685" s="137"/>
      <c r="E1685" s="137"/>
      <c r="F1685" s="137"/>
      <c r="G1685" s="137"/>
      <c r="H1685" s="137"/>
      <c r="I1685" s="137"/>
      <c r="J1685" s="137"/>
      <c r="K1685" s="137"/>
      <c r="L1685" s="137"/>
      <c r="M1685" s="137"/>
      <c r="N1685" s="137"/>
      <c r="O1685" s="137"/>
      <c r="P1685" s="137"/>
      <c r="Q1685" s="137"/>
      <c r="R1685" s="137"/>
      <c r="S1685" s="137"/>
      <c r="T1685" s="137"/>
      <c r="U1685" s="137"/>
      <c r="V1685" s="137"/>
      <c r="W1685" s="137"/>
    </row>
    <row r="1686" spans="1:23" x14ac:dyDescent="0.25">
      <c r="A1686" s="137"/>
      <c r="B1686" s="137"/>
      <c r="C1686" s="137"/>
      <c r="D1686" s="137"/>
      <c r="E1686" s="137"/>
      <c r="F1686" s="137"/>
      <c r="G1686" s="137"/>
      <c r="H1686" s="137"/>
      <c r="I1686" s="137"/>
      <c r="J1686" s="137"/>
      <c r="K1686" s="137"/>
      <c r="L1686" s="137"/>
      <c r="M1686" s="137"/>
      <c r="N1686" s="137"/>
      <c r="O1686" s="137"/>
      <c r="P1686" s="137"/>
      <c r="Q1686" s="137"/>
      <c r="R1686" s="137"/>
      <c r="S1686" s="137"/>
      <c r="T1686" s="137"/>
      <c r="U1686" s="137"/>
      <c r="V1686" s="137"/>
      <c r="W1686" s="137"/>
    </row>
    <row r="1687" spans="1:23" x14ac:dyDescent="0.25">
      <c r="A1687" s="137"/>
      <c r="B1687" s="137"/>
      <c r="C1687" s="137"/>
      <c r="D1687" s="137"/>
      <c r="E1687" s="137"/>
      <c r="F1687" s="137"/>
      <c r="G1687" s="137"/>
      <c r="H1687" s="137"/>
      <c r="I1687" s="137"/>
      <c r="J1687" s="137"/>
      <c r="K1687" s="137"/>
      <c r="L1687" s="137"/>
      <c r="M1687" s="137"/>
      <c r="N1687" s="137"/>
      <c r="O1687" s="137"/>
      <c r="P1687" s="137"/>
      <c r="Q1687" s="137"/>
      <c r="R1687" s="137"/>
      <c r="S1687" s="137"/>
      <c r="T1687" s="137"/>
      <c r="U1687" s="137"/>
      <c r="V1687" s="137"/>
      <c r="W1687" s="137"/>
    </row>
    <row r="1688" spans="1:23" x14ac:dyDescent="0.25">
      <c r="A1688" s="137"/>
      <c r="B1688" s="137"/>
      <c r="C1688" s="137"/>
      <c r="D1688" s="137"/>
      <c r="E1688" s="137"/>
      <c r="F1688" s="137"/>
      <c r="G1688" s="137"/>
      <c r="H1688" s="137"/>
      <c r="I1688" s="137"/>
      <c r="J1688" s="137"/>
      <c r="K1688" s="137"/>
      <c r="L1688" s="137"/>
      <c r="M1688" s="137"/>
      <c r="N1688" s="137"/>
      <c r="O1688" s="137"/>
      <c r="P1688" s="137"/>
      <c r="Q1688" s="137"/>
      <c r="R1688" s="137"/>
      <c r="S1688" s="137"/>
      <c r="T1688" s="137"/>
      <c r="U1688" s="137"/>
      <c r="V1688" s="137"/>
      <c r="W1688" s="137"/>
    </row>
    <row r="1689" spans="1:23" x14ac:dyDescent="0.25">
      <c r="A1689" s="137"/>
      <c r="B1689" s="137"/>
      <c r="C1689" s="137"/>
      <c r="D1689" s="137"/>
      <c r="E1689" s="137"/>
      <c r="F1689" s="137"/>
      <c r="G1689" s="137"/>
      <c r="H1689" s="137"/>
      <c r="I1689" s="137"/>
      <c r="J1689" s="137"/>
      <c r="K1689" s="137"/>
      <c r="L1689" s="137"/>
      <c r="M1689" s="137"/>
      <c r="N1689" s="137"/>
      <c r="O1689" s="137"/>
      <c r="P1689" s="137"/>
      <c r="Q1689" s="137"/>
      <c r="R1689" s="137"/>
      <c r="S1689" s="137"/>
      <c r="T1689" s="137"/>
      <c r="U1689" s="137"/>
      <c r="V1689" s="137"/>
      <c r="W1689" s="137"/>
    </row>
    <row r="1690" spans="1:23" x14ac:dyDescent="0.25">
      <c r="A1690" s="137"/>
      <c r="B1690" s="137"/>
      <c r="C1690" s="137"/>
      <c r="D1690" s="137"/>
      <c r="E1690" s="137"/>
      <c r="F1690" s="137"/>
      <c r="G1690" s="137"/>
      <c r="H1690" s="137"/>
      <c r="I1690" s="137"/>
      <c r="J1690" s="137"/>
      <c r="K1690" s="137"/>
      <c r="L1690" s="137"/>
      <c r="M1690" s="137"/>
      <c r="N1690" s="137"/>
      <c r="O1690" s="137"/>
      <c r="P1690" s="137"/>
      <c r="Q1690" s="137"/>
      <c r="R1690" s="137"/>
      <c r="S1690" s="137"/>
      <c r="T1690" s="137"/>
      <c r="U1690" s="137"/>
      <c r="V1690" s="137"/>
      <c r="W1690" s="137"/>
    </row>
    <row r="1691" spans="1:23" x14ac:dyDescent="0.25">
      <c r="A1691" s="137"/>
      <c r="B1691" s="137"/>
      <c r="C1691" s="137"/>
      <c r="D1691" s="137"/>
      <c r="E1691" s="137"/>
      <c r="F1691" s="137"/>
      <c r="G1691" s="137"/>
      <c r="H1691" s="137"/>
      <c r="I1691" s="137"/>
      <c r="J1691" s="137"/>
      <c r="K1691" s="137"/>
      <c r="L1691" s="137"/>
      <c r="M1691" s="137"/>
      <c r="N1691" s="137"/>
      <c r="O1691" s="137"/>
      <c r="P1691" s="137"/>
      <c r="Q1691" s="137"/>
      <c r="R1691" s="137"/>
      <c r="S1691" s="137"/>
      <c r="T1691" s="137"/>
      <c r="U1691" s="137"/>
      <c r="V1691" s="137"/>
      <c r="W1691" s="137"/>
    </row>
    <row r="1692" spans="1:23" x14ac:dyDescent="0.25">
      <c r="A1692" s="137"/>
      <c r="B1692" s="137"/>
      <c r="C1692" s="137"/>
      <c r="D1692" s="137"/>
      <c r="E1692" s="137"/>
      <c r="F1692" s="137"/>
      <c r="G1692" s="137"/>
      <c r="H1692" s="137"/>
      <c r="I1692" s="137"/>
      <c r="J1692" s="137"/>
      <c r="K1692" s="137"/>
      <c r="L1692" s="137"/>
      <c r="M1692" s="137"/>
      <c r="N1692" s="137"/>
      <c r="O1692" s="137"/>
      <c r="P1692" s="137"/>
      <c r="Q1692" s="137"/>
      <c r="R1692" s="137"/>
      <c r="S1692" s="137"/>
      <c r="T1692" s="137"/>
      <c r="U1692" s="137"/>
      <c r="V1692" s="137"/>
      <c r="W1692" s="137"/>
    </row>
    <row r="1693" spans="1:23" x14ac:dyDescent="0.25">
      <c r="A1693" s="137"/>
      <c r="B1693" s="137"/>
      <c r="C1693" s="137"/>
      <c r="D1693" s="137"/>
      <c r="E1693" s="137"/>
      <c r="F1693" s="137"/>
      <c r="G1693" s="137"/>
      <c r="H1693" s="137"/>
      <c r="I1693" s="137"/>
      <c r="J1693" s="137"/>
      <c r="K1693" s="137"/>
      <c r="L1693" s="137"/>
      <c r="M1693" s="137"/>
      <c r="N1693" s="137"/>
      <c r="O1693" s="137"/>
      <c r="P1693" s="137"/>
      <c r="Q1693" s="137"/>
      <c r="R1693" s="137"/>
      <c r="S1693" s="137"/>
      <c r="T1693" s="137"/>
      <c r="U1693" s="137"/>
      <c r="V1693" s="137"/>
      <c r="W1693" s="137"/>
    </row>
    <row r="1694" spans="1:23" x14ac:dyDescent="0.25">
      <c r="A1694" s="137"/>
      <c r="B1694" s="137"/>
      <c r="C1694" s="137"/>
      <c r="D1694" s="137"/>
      <c r="E1694" s="137"/>
      <c r="F1694" s="137"/>
      <c r="G1694" s="137"/>
      <c r="H1694" s="137"/>
      <c r="I1694" s="137"/>
      <c r="J1694" s="137"/>
      <c r="K1694" s="137"/>
      <c r="L1694" s="137"/>
      <c r="M1694" s="137"/>
      <c r="N1694" s="137"/>
      <c r="O1694" s="137"/>
      <c r="P1694" s="137"/>
      <c r="Q1694" s="137"/>
      <c r="R1694" s="137"/>
      <c r="S1694" s="137"/>
      <c r="T1694" s="137"/>
      <c r="U1694" s="137"/>
      <c r="V1694" s="137"/>
      <c r="W1694" s="137"/>
    </row>
    <row r="1695" spans="1:23" x14ac:dyDescent="0.25">
      <c r="A1695" s="137"/>
      <c r="B1695" s="137"/>
      <c r="C1695" s="137"/>
      <c r="D1695" s="137"/>
      <c r="E1695" s="137"/>
      <c r="F1695" s="137"/>
      <c r="G1695" s="137"/>
      <c r="H1695" s="137"/>
      <c r="I1695" s="137"/>
      <c r="J1695" s="137"/>
      <c r="K1695" s="137"/>
      <c r="L1695" s="137"/>
      <c r="M1695" s="137"/>
      <c r="N1695" s="137"/>
      <c r="O1695" s="137"/>
      <c r="P1695" s="137"/>
      <c r="Q1695" s="137"/>
      <c r="R1695" s="137"/>
      <c r="S1695" s="137"/>
      <c r="T1695" s="137"/>
      <c r="U1695" s="137"/>
      <c r="V1695" s="137"/>
      <c r="W1695" s="137"/>
    </row>
    <row r="1696" spans="1:23" x14ac:dyDescent="0.25">
      <c r="A1696" s="137"/>
      <c r="B1696" s="137"/>
      <c r="C1696" s="137"/>
      <c r="D1696" s="137"/>
      <c r="E1696" s="137"/>
      <c r="F1696" s="137"/>
      <c r="G1696" s="137"/>
      <c r="H1696" s="137"/>
      <c r="I1696" s="137"/>
      <c r="J1696" s="137"/>
      <c r="K1696" s="137"/>
      <c r="L1696" s="137"/>
      <c r="M1696" s="137"/>
      <c r="N1696" s="137"/>
      <c r="O1696" s="137"/>
      <c r="P1696" s="137"/>
      <c r="Q1696" s="137"/>
      <c r="R1696" s="137"/>
      <c r="S1696" s="137"/>
      <c r="T1696" s="137"/>
      <c r="U1696" s="137"/>
      <c r="V1696" s="137"/>
      <c r="W1696" s="137"/>
    </row>
    <row r="1697" spans="1:23" x14ac:dyDescent="0.25">
      <c r="A1697" s="137"/>
      <c r="B1697" s="137"/>
      <c r="C1697" s="137"/>
      <c r="D1697" s="137"/>
      <c r="E1697" s="137"/>
      <c r="F1697" s="137"/>
      <c r="G1697" s="137"/>
      <c r="H1697" s="137"/>
      <c r="I1697" s="137"/>
      <c r="J1697" s="137"/>
      <c r="K1697" s="137"/>
      <c r="L1697" s="137"/>
      <c r="M1697" s="137"/>
      <c r="N1697" s="137"/>
      <c r="O1697" s="137"/>
      <c r="P1697" s="137"/>
      <c r="Q1697" s="137"/>
      <c r="R1697" s="137"/>
      <c r="S1697" s="137"/>
      <c r="T1697" s="137"/>
      <c r="U1697" s="137"/>
      <c r="V1697" s="137"/>
      <c r="W1697" s="137"/>
    </row>
    <row r="1698" spans="1:23" x14ac:dyDescent="0.25">
      <c r="A1698" s="137"/>
      <c r="B1698" s="137"/>
      <c r="C1698" s="137"/>
      <c r="D1698" s="137"/>
      <c r="E1698" s="137"/>
      <c r="F1698" s="137"/>
      <c r="G1698" s="137"/>
      <c r="H1698" s="137"/>
      <c r="I1698" s="137"/>
      <c r="J1698" s="137"/>
      <c r="K1698" s="137"/>
      <c r="L1698" s="137"/>
      <c r="M1698" s="137"/>
      <c r="N1698" s="137"/>
      <c r="O1698" s="137"/>
      <c r="P1698" s="137"/>
      <c r="Q1698" s="137"/>
      <c r="R1698" s="137"/>
      <c r="S1698" s="137"/>
      <c r="T1698" s="137"/>
      <c r="U1698" s="137"/>
      <c r="V1698" s="137"/>
      <c r="W1698" s="137"/>
    </row>
    <row r="1699" spans="1:23" x14ac:dyDescent="0.25">
      <c r="A1699" s="137"/>
      <c r="B1699" s="137"/>
      <c r="C1699" s="137"/>
      <c r="D1699" s="137"/>
      <c r="E1699" s="137"/>
      <c r="F1699" s="137"/>
      <c r="G1699" s="137"/>
      <c r="H1699" s="137"/>
      <c r="I1699" s="137"/>
      <c r="J1699" s="137"/>
      <c r="K1699" s="137"/>
      <c r="L1699" s="137"/>
      <c r="M1699" s="137"/>
      <c r="N1699" s="137"/>
      <c r="O1699" s="137"/>
      <c r="P1699" s="137"/>
      <c r="Q1699" s="137"/>
      <c r="R1699" s="137"/>
      <c r="S1699" s="137"/>
      <c r="T1699" s="137"/>
      <c r="U1699" s="137"/>
      <c r="V1699" s="137"/>
      <c r="W1699" s="137"/>
    </row>
    <row r="1700" spans="1:23" x14ac:dyDescent="0.25">
      <c r="A1700" s="137"/>
      <c r="B1700" s="137"/>
      <c r="C1700" s="137"/>
      <c r="D1700" s="137"/>
      <c r="E1700" s="137"/>
      <c r="F1700" s="137"/>
      <c r="G1700" s="137"/>
      <c r="H1700" s="137"/>
      <c r="I1700" s="137"/>
      <c r="J1700" s="137"/>
      <c r="K1700" s="137"/>
      <c r="L1700" s="137"/>
      <c r="M1700" s="137"/>
      <c r="N1700" s="137"/>
      <c r="O1700" s="137"/>
      <c r="P1700" s="137"/>
      <c r="Q1700" s="137"/>
      <c r="R1700" s="137"/>
      <c r="S1700" s="137"/>
      <c r="T1700" s="137"/>
      <c r="U1700" s="137"/>
      <c r="V1700" s="137"/>
      <c r="W1700" s="137"/>
    </row>
    <row r="1701" spans="1:23" x14ac:dyDescent="0.25">
      <c r="A1701" s="137"/>
      <c r="B1701" s="137"/>
      <c r="C1701" s="137"/>
      <c r="D1701" s="137"/>
      <c r="E1701" s="137"/>
      <c r="F1701" s="137"/>
      <c r="G1701" s="137"/>
      <c r="H1701" s="137"/>
      <c r="I1701" s="137"/>
      <c r="J1701" s="137"/>
      <c r="K1701" s="137"/>
      <c r="L1701" s="137"/>
      <c r="M1701" s="137"/>
      <c r="N1701" s="137"/>
      <c r="O1701" s="137"/>
      <c r="P1701" s="137"/>
      <c r="Q1701" s="137"/>
      <c r="R1701" s="137"/>
      <c r="S1701" s="137"/>
      <c r="T1701" s="137"/>
      <c r="U1701" s="137"/>
      <c r="V1701" s="137"/>
      <c r="W1701" s="137"/>
    </row>
    <row r="1702" spans="1:23" x14ac:dyDescent="0.25">
      <c r="A1702" s="137"/>
      <c r="B1702" s="137"/>
      <c r="C1702" s="137"/>
      <c r="D1702" s="137"/>
      <c r="E1702" s="137"/>
      <c r="F1702" s="137"/>
      <c r="G1702" s="137"/>
      <c r="H1702" s="137"/>
      <c r="I1702" s="137"/>
      <c r="J1702" s="137"/>
      <c r="K1702" s="137"/>
      <c r="L1702" s="137"/>
      <c r="M1702" s="137"/>
      <c r="N1702" s="137"/>
      <c r="O1702" s="137"/>
      <c r="P1702" s="137"/>
      <c r="Q1702" s="137"/>
      <c r="R1702" s="137"/>
      <c r="S1702" s="137"/>
      <c r="T1702" s="137"/>
      <c r="U1702" s="137"/>
      <c r="V1702" s="137"/>
      <c r="W1702" s="137"/>
    </row>
    <row r="1703" spans="1:23" x14ac:dyDescent="0.25">
      <c r="A1703" s="137"/>
      <c r="B1703" s="137"/>
      <c r="C1703" s="137"/>
      <c r="D1703" s="137"/>
      <c r="E1703" s="137"/>
      <c r="F1703" s="137"/>
      <c r="G1703" s="137"/>
      <c r="H1703" s="137"/>
      <c r="I1703" s="137"/>
      <c r="J1703" s="137"/>
      <c r="K1703" s="137"/>
      <c r="L1703" s="137"/>
      <c r="M1703" s="137"/>
      <c r="N1703" s="137"/>
      <c r="O1703" s="137"/>
      <c r="P1703" s="137"/>
      <c r="Q1703" s="137"/>
      <c r="R1703" s="137"/>
      <c r="S1703" s="137"/>
      <c r="T1703" s="137"/>
      <c r="U1703" s="137"/>
      <c r="V1703" s="137"/>
      <c r="W1703" s="137"/>
    </row>
    <row r="1704" spans="1:23" x14ac:dyDescent="0.25">
      <c r="A1704" s="137"/>
      <c r="B1704" s="137"/>
      <c r="C1704" s="137"/>
      <c r="D1704" s="137"/>
      <c r="E1704" s="137"/>
      <c r="F1704" s="137"/>
      <c r="G1704" s="137"/>
      <c r="H1704" s="137"/>
      <c r="I1704" s="137"/>
      <c r="J1704" s="137"/>
      <c r="K1704" s="137"/>
      <c r="L1704" s="137"/>
      <c r="M1704" s="137"/>
      <c r="N1704" s="137"/>
      <c r="O1704" s="137"/>
      <c r="P1704" s="137"/>
      <c r="Q1704" s="137"/>
      <c r="R1704" s="137"/>
      <c r="S1704" s="137"/>
      <c r="T1704" s="137"/>
      <c r="U1704" s="137"/>
      <c r="V1704" s="137"/>
      <c r="W1704" s="137"/>
    </row>
    <row r="1705" spans="1:23" x14ac:dyDescent="0.25">
      <c r="A1705" s="137"/>
      <c r="B1705" s="137"/>
      <c r="C1705" s="137"/>
      <c r="D1705" s="137"/>
      <c r="E1705" s="137"/>
      <c r="F1705" s="137"/>
      <c r="G1705" s="137"/>
      <c r="H1705" s="137"/>
      <c r="I1705" s="137"/>
      <c r="J1705" s="137"/>
      <c r="K1705" s="137"/>
      <c r="L1705" s="137"/>
      <c r="M1705" s="137"/>
      <c r="N1705" s="137"/>
      <c r="O1705" s="137"/>
      <c r="P1705" s="137"/>
      <c r="Q1705" s="137"/>
      <c r="R1705" s="137"/>
      <c r="S1705" s="137"/>
      <c r="T1705" s="137"/>
      <c r="U1705" s="137"/>
      <c r="V1705" s="137"/>
      <c r="W1705" s="137"/>
    </row>
    <row r="1706" spans="1:23" x14ac:dyDescent="0.25">
      <c r="A1706" s="137"/>
      <c r="B1706" s="137"/>
      <c r="C1706" s="137"/>
      <c r="D1706" s="137"/>
      <c r="E1706" s="137"/>
      <c r="F1706" s="137"/>
      <c r="G1706" s="137"/>
      <c r="H1706" s="137"/>
      <c r="I1706" s="137"/>
      <c r="J1706" s="137"/>
      <c r="K1706" s="137"/>
      <c r="L1706" s="137"/>
      <c r="M1706" s="137"/>
      <c r="N1706" s="137"/>
      <c r="O1706" s="137"/>
      <c r="P1706" s="137"/>
      <c r="Q1706" s="137"/>
      <c r="R1706" s="137"/>
      <c r="S1706" s="137"/>
      <c r="T1706" s="137"/>
      <c r="U1706" s="137"/>
      <c r="V1706" s="137"/>
      <c r="W1706" s="137"/>
    </row>
    <row r="1707" spans="1:23" x14ac:dyDescent="0.25">
      <c r="A1707" s="137"/>
      <c r="B1707" s="137"/>
      <c r="C1707" s="137"/>
      <c r="D1707" s="137"/>
      <c r="E1707" s="137"/>
      <c r="F1707" s="137"/>
      <c r="G1707" s="137"/>
      <c r="H1707" s="137"/>
      <c r="I1707" s="137"/>
      <c r="J1707" s="137"/>
      <c r="K1707" s="137"/>
      <c r="L1707" s="137"/>
      <c r="M1707" s="137"/>
      <c r="N1707" s="137"/>
      <c r="O1707" s="137"/>
      <c r="P1707" s="137"/>
      <c r="Q1707" s="137"/>
      <c r="R1707" s="137"/>
      <c r="S1707" s="137"/>
      <c r="T1707" s="137"/>
      <c r="U1707" s="137"/>
      <c r="V1707" s="137"/>
      <c r="W1707" s="137"/>
    </row>
    <row r="1708" spans="1:23" x14ac:dyDescent="0.25">
      <c r="A1708" s="137"/>
      <c r="B1708" s="137"/>
      <c r="C1708" s="137"/>
      <c r="D1708" s="137"/>
      <c r="E1708" s="137"/>
      <c r="F1708" s="137"/>
      <c r="G1708" s="137"/>
      <c r="H1708" s="137"/>
      <c r="I1708" s="137"/>
      <c r="J1708" s="137"/>
      <c r="K1708" s="137"/>
      <c r="L1708" s="137"/>
      <c r="M1708" s="137"/>
      <c r="N1708" s="137"/>
      <c r="O1708" s="137"/>
      <c r="P1708" s="137"/>
      <c r="Q1708" s="137"/>
      <c r="R1708" s="137"/>
      <c r="S1708" s="137"/>
      <c r="T1708" s="137"/>
      <c r="U1708" s="137"/>
      <c r="V1708" s="137"/>
      <c r="W1708" s="137"/>
    </row>
    <row r="1709" spans="1:23" x14ac:dyDescent="0.25">
      <c r="A1709" s="137"/>
      <c r="B1709" s="137"/>
      <c r="C1709" s="137"/>
      <c r="D1709" s="137"/>
      <c r="E1709" s="137"/>
      <c r="F1709" s="137"/>
      <c r="G1709" s="137"/>
      <c r="H1709" s="137"/>
      <c r="I1709" s="137"/>
      <c r="J1709" s="137"/>
      <c r="K1709" s="137"/>
      <c r="L1709" s="137"/>
      <c r="M1709" s="137"/>
      <c r="N1709" s="137"/>
      <c r="O1709" s="137"/>
      <c r="P1709" s="137"/>
      <c r="Q1709" s="137"/>
      <c r="R1709" s="137"/>
      <c r="S1709" s="137"/>
      <c r="T1709" s="137"/>
      <c r="U1709" s="137"/>
      <c r="V1709" s="137"/>
      <c r="W1709" s="137"/>
    </row>
    <row r="1710" spans="1:23" x14ac:dyDescent="0.25">
      <c r="A1710" s="137"/>
      <c r="B1710" s="137"/>
      <c r="C1710" s="137"/>
      <c r="D1710" s="137"/>
      <c r="E1710" s="137"/>
      <c r="F1710" s="137"/>
      <c r="G1710" s="137"/>
      <c r="H1710" s="137"/>
      <c r="I1710" s="137"/>
      <c r="J1710" s="137"/>
      <c r="K1710" s="137"/>
      <c r="L1710" s="137"/>
      <c r="M1710" s="137"/>
      <c r="N1710" s="137"/>
      <c r="O1710" s="137"/>
      <c r="P1710" s="137"/>
      <c r="Q1710" s="137"/>
      <c r="R1710" s="137"/>
      <c r="S1710" s="137"/>
      <c r="T1710" s="137"/>
      <c r="U1710" s="137"/>
      <c r="V1710" s="137"/>
      <c r="W1710" s="137"/>
    </row>
    <row r="1711" spans="1:23" x14ac:dyDescent="0.25">
      <c r="A1711" s="137"/>
      <c r="B1711" s="137"/>
      <c r="C1711" s="137"/>
      <c r="D1711" s="137"/>
      <c r="E1711" s="137"/>
      <c r="F1711" s="137"/>
      <c r="G1711" s="137"/>
      <c r="H1711" s="137"/>
      <c r="I1711" s="137"/>
      <c r="J1711" s="137"/>
      <c r="K1711" s="137"/>
      <c r="L1711" s="137"/>
      <c r="M1711" s="137"/>
      <c r="N1711" s="137"/>
      <c r="O1711" s="137"/>
      <c r="P1711" s="137"/>
      <c r="Q1711" s="137"/>
      <c r="R1711" s="137"/>
      <c r="S1711" s="137"/>
      <c r="T1711" s="137"/>
      <c r="U1711" s="137"/>
      <c r="V1711" s="137"/>
      <c r="W1711" s="137"/>
    </row>
    <row r="1712" spans="1:23" x14ac:dyDescent="0.25">
      <c r="A1712" s="137"/>
      <c r="B1712" s="137"/>
      <c r="C1712" s="137"/>
      <c r="D1712" s="137"/>
      <c r="E1712" s="137"/>
      <c r="F1712" s="137"/>
      <c r="G1712" s="137"/>
      <c r="H1712" s="137"/>
      <c r="I1712" s="137"/>
      <c r="J1712" s="137"/>
      <c r="K1712" s="137"/>
      <c r="L1712" s="137"/>
      <c r="M1712" s="137"/>
      <c r="N1712" s="137"/>
      <c r="O1712" s="137"/>
      <c r="P1712" s="137"/>
      <c r="Q1712" s="137"/>
      <c r="R1712" s="137"/>
      <c r="S1712" s="137"/>
      <c r="T1712" s="137"/>
      <c r="U1712" s="137"/>
      <c r="V1712" s="137"/>
      <c r="W1712" s="137"/>
    </row>
    <row r="1713" spans="1:23" x14ac:dyDescent="0.25">
      <c r="A1713" s="137"/>
      <c r="B1713" s="137"/>
      <c r="C1713" s="137"/>
      <c r="D1713" s="137"/>
      <c r="E1713" s="137"/>
      <c r="F1713" s="137"/>
      <c r="G1713" s="137"/>
      <c r="H1713" s="137"/>
      <c r="I1713" s="137"/>
      <c r="J1713" s="137"/>
      <c r="K1713" s="137"/>
      <c r="L1713" s="137"/>
      <c r="M1713" s="137"/>
      <c r="N1713" s="137"/>
      <c r="O1713" s="137"/>
      <c r="P1713" s="137"/>
      <c r="Q1713" s="137"/>
      <c r="R1713" s="137"/>
      <c r="S1713" s="137"/>
      <c r="T1713" s="137"/>
      <c r="U1713" s="137"/>
      <c r="V1713" s="137"/>
      <c r="W1713" s="137"/>
    </row>
    <row r="1714" spans="1:23" x14ac:dyDescent="0.25">
      <c r="A1714" s="137"/>
      <c r="B1714" s="137"/>
      <c r="C1714" s="137"/>
      <c r="D1714" s="137"/>
      <c r="E1714" s="137"/>
      <c r="F1714" s="137"/>
      <c r="G1714" s="137"/>
      <c r="H1714" s="137"/>
      <c r="I1714" s="137"/>
      <c r="J1714" s="137"/>
      <c r="K1714" s="137"/>
      <c r="L1714" s="137"/>
      <c r="M1714" s="137"/>
      <c r="N1714" s="137"/>
      <c r="O1714" s="137"/>
      <c r="P1714" s="137"/>
      <c r="Q1714" s="137"/>
      <c r="R1714" s="137"/>
      <c r="S1714" s="137"/>
      <c r="T1714" s="137"/>
      <c r="U1714" s="137"/>
      <c r="V1714" s="137"/>
      <c r="W1714" s="137"/>
    </row>
    <row r="1715" spans="1:23" x14ac:dyDescent="0.25">
      <c r="A1715" s="137"/>
      <c r="B1715" s="137"/>
      <c r="C1715" s="137"/>
      <c r="D1715" s="137"/>
      <c r="E1715" s="137"/>
      <c r="F1715" s="137"/>
      <c r="G1715" s="137"/>
      <c r="H1715" s="137"/>
      <c r="I1715" s="137"/>
      <c r="J1715" s="137"/>
      <c r="K1715" s="137"/>
      <c r="L1715" s="137"/>
      <c r="M1715" s="137"/>
      <c r="N1715" s="137"/>
      <c r="O1715" s="137"/>
      <c r="P1715" s="137"/>
      <c r="Q1715" s="137"/>
      <c r="R1715" s="137"/>
      <c r="S1715" s="137"/>
      <c r="T1715" s="137"/>
      <c r="U1715" s="137"/>
      <c r="V1715" s="137"/>
      <c r="W1715" s="137"/>
    </row>
    <row r="1716" spans="1:23" x14ac:dyDescent="0.25">
      <c r="A1716" s="137"/>
      <c r="B1716" s="137"/>
      <c r="C1716" s="137"/>
      <c r="D1716" s="137"/>
      <c r="E1716" s="137"/>
      <c r="F1716" s="137"/>
      <c r="G1716" s="137"/>
      <c r="H1716" s="137"/>
      <c r="I1716" s="137"/>
      <c r="J1716" s="137"/>
      <c r="K1716" s="137"/>
      <c r="L1716" s="137"/>
      <c r="M1716" s="137"/>
      <c r="N1716" s="137"/>
      <c r="O1716" s="137"/>
      <c r="P1716" s="137"/>
      <c r="Q1716" s="137"/>
      <c r="R1716" s="137"/>
      <c r="S1716" s="137"/>
      <c r="T1716" s="137"/>
      <c r="U1716" s="137"/>
      <c r="V1716" s="137"/>
      <c r="W1716" s="137"/>
    </row>
    <row r="1717" spans="1:23" x14ac:dyDescent="0.25">
      <c r="A1717" s="137"/>
      <c r="B1717" s="137"/>
      <c r="C1717" s="137"/>
      <c r="D1717" s="137"/>
      <c r="E1717" s="137"/>
      <c r="F1717" s="137"/>
      <c r="G1717" s="137"/>
      <c r="H1717" s="137"/>
      <c r="I1717" s="137"/>
      <c r="J1717" s="137"/>
      <c r="K1717" s="137"/>
      <c r="L1717" s="137"/>
      <c r="M1717" s="137"/>
      <c r="N1717" s="137"/>
      <c r="O1717" s="137"/>
      <c r="P1717" s="137"/>
      <c r="Q1717" s="137"/>
      <c r="R1717" s="137"/>
      <c r="S1717" s="137"/>
      <c r="T1717" s="137"/>
      <c r="U1717" s="137"/>
      <c r="V1717" s="137"/>
      <c r="W1717" s="137"/>
    </row>
    <row r="1718" spans="1:23" x14ac:dyDescent="0.25">
      <c r="A1718" s="137"/>
      <c r="B1718" s="137"/>
      <c r="C1718" s="137"/>
      <c r="D1718" s="137"/>
      <c r="E1718" s="137"/>
      <c r="F1718" s="137"/>
      <c r="G1718" s="137"/>
      <c r="H1718" s="137"/>
      <c r="I1718" s="137"/>
      <c r="J1718" s="137"/>
      <c r="K1718" s="137"/>
      <c r="L1718" s="137"/>
      <c r="M1718" s="137"/>
      <c r="N1718" s="137"/>
      <c r="O1718" s="137"/>
      <c r="P1718" s="137"/>
      <c r="Q1718" s="137"/>
      <c r="R1718" s="137"/>
      <c r="S1718" s="137"/>
      <c r="T1718" s="137"/>
      <c r="U1718" s="137"/>
      <c r="V1718" s="137"/>
      <c r="W1718" s="137"/>
    </row>
    <row r="1719" spans="1:23" x14ac:dyDescent="0.25">
      <c r="A1719" s="137"/>
      <c r="B1719" s="137"/>
      <c r="C1719" s="137"/>
      <c r="D1719" s="137"/>
      <c r="E1719" s="137"/>
      <c r="F1719" s="137"/>
      <c r="G1719" s="137"/>
      <c r="H1719" s="137"/>
      <c r="I1719" s="137"/>
      <c r="J1719" s="137"/>
      <c r="K1719" s="137"/>
      <c r="L1719" s="137"/>
      <c r="M1719" s="137"/>
      <c r="N1719" s="137"/>
      <c r="O1719" s="137"/>
      <c r="P1719" s="137"/>
      <c r="Q1719" s="137"/>
      <c r="R1719" s="137"/>
      <c r="S1719" s="137"/>
      <c r="T1719" s="137"/>
      <c r="U1719" s="137"/>
      <c r="V1719" s="137"/>
      <c r="W1719" s="137"/>
    </row>
    <row r="1720" spans="1:23" x14ac:dyDescent="0.25">
      <c r="A1720" s="137"/>
      <c r="B1720" s="137"/>
      <c r="C1720" s="137"/>
      <c r="D1720" s="137"/>
      <c r="E1720" s="137"/>
      <c r="F1720" s="137"/>
      <c r="G1720" s="137"/>
      <c r="H1720" s="137"/>
      <c r="I1720" s="137"/>
      <c r="J1720" s="137"/>
      <c r="K1720" s="137"/>
      <c r="L1720" s="137"/>
      <c r="M1720" s="137"/>
      <c r="N1720" s="137"/>
      <c r="O1720" s="137"/>
      <c r="P1720" s="137"/>
      <c r="Q1720" s="137"/>
      <c r="R1720" s="137"/>
      <c r="S1720" s="137"/>
      <c r="T1720" s="137"/>
      <c r="U1720" s="137"/>
      <c r="V1720" s="137"/>
      <c r="W1720" s="137"/>
    </row>
    <row r="1721" spans="1:23" x14ac:dyDescent="0.25">
      <c r="A1721" s="137"/>
      <c r="B1721" s="137"/>
      <c r="C1721" s="137"/>
      <c r="D1721" s="137"/>
      <c r="E1721" s="137"/>
      <c r="F1721" s="137"/>
      <c r="G1721" s="137"/>
      <c r="H1721" s="137"/>
      <c r="I1721" s="137"/>
      <c r="J1721" s="137"/>
      <c r="K1721" s="137"/>
      <c r="L1721" s="137"/>
      <c r="M1721" s="137"/>
      <c r="N1721" s="137"/>
      <c r="O1721" s="137"/>
      <c r="P1721" s="137"/>
      <c r="Q1721" s="137"/>
      <c r="R1721" s="137"/>
      <c r="S1721" s="137"/>
      <c r="T1721" s="137"/>
      <c r="U1721" s="137"/>
      <c r="V1721" s="137"/>
      <c r="W1721" s="137"/>
    </row>
    <row r="1722" spans="1:23" x14ac:dyDescent="0.25">
      <c r="A1722" s="137"/>
      <c r="B1722" s="137"/>
      <c r="C1722" s="137"/>
      <c r="D1722" s="137"/>
      <c r="E1722" s="137"/>
      <c r="F1722" s="137"/>
      <c r="G1722" s="137"/>
      <c r="H1722" s="137"/>
      <c r="I1722" s="137"/>
      <c r="J1722" s="137"/>
      <c r="K1722" s="137"/>
      <c r="L1722" s="137"/>
      <c r="M1722" s="137"/>
      <c r="N1722" s="137"/>
      <c r="O1722" s="137"/>
      <c r="P1722" s="137"/>
      <c r="Q1722" s="137"/>
      <c r="R1722" s="137"/>
      <c r="S1722" s="137"/>
      <c r="T1722" s="137"/>
      <c r="U1722" s="137"/>
      <c r="V1722" s="137"/>
      <c r="W1722" s="137"/>
    </row>
    <row r="1723" spans="1:23" x14ac:dyDescent="0.25">
      <c r="A1723" s="137"/>
      <c r="B1723" s="137"/>
      <c r="C1723" s="137"/>
      <c r="D1723" s="137"/>
      <c r="E1723" s="137"/>
      <c r="F1723" s="137"/>
      <c r="G1723" s="137"/>
      <c r="H1723" s="137"/>
      <c r="I1723" s="137"/>
      <c r="J1723" s="137"/>
      <c r="K1723" s="137"/>
      <c r="L1723" s="137"/>
      <c r="M1723" s="137"/>
      <c r="N1723" s="137"/>
      <c r="O1723" s="137"/>
      <c r="P1723" s="137"/>
      <c r="Q1723" s="137"/>
      <c r="R1723" s="137"/>
      <c r="S1723" s="137"/>
      <c r="T1723" s="137"/>
      <c r="U1723" s="137"/>
      <c r="V1723" s="137"/>
      <c r="W1723" s="137"/>
    </row>
    <row r="1724" spans="1:23" x14ac:dyDescent="0.25">
      <c r="A1724" s="137"/>
      <c r="B1724" s="137"/>
      <c r="C1724" s="137"/>
      <c r="D1724" s="137"/>
      <c r="E1724" s="137"/>
      <c r="F1724" s="137"/>
      <c r="G1724" s="137"/>
      <c r="H1724" s="137"/>
      <c r="I1724" s="137"/>
      <c r="J1724" s="137"/>
      <c r="K1724" s="137"/>
      <c r="L1724" s="137"/>
      <c r="M1724" s="137"/>
      <c r="N1724" s="137"/>
      <c r="O1724" s="137"/>
      <c r="P1724" s="137"/>
      <c r="Q1724" s="137"/>
      <c r="R1724" s="137"/>
      <c r="S1724" s="137"/>
      <c r="T1724" s="137"/>
      <c r="U1724" s="137"/>
      <c r="V1724" s="137"/>
      <c r="W1724" s="137"/>
    </row>
    <row r="1725" spans="1:23" x14ac:dyDescent="0.25">
      <c r="A1725" s="137"/>
      <c r="B1725" s="137"/>
      <c r="C1725" s="137"/>
      <c r="D1725" s="137"/>
      <c r="E1725" s="137"/>
      <c r="F1725" s="137"/>
      <c r="G1725" s="137"/>
      <c r="H1725" s="137"/>
      <c r="I1725" s="137"/>
      <c r="J1725" s="137"/>
      <c r="K1725" s="137"/>
      <c r="L1725" s="137"/>
      <c r="M1725" s="137"/>
      <c r="N1725" s="137"/>
      <c r="O1725" s="137"/>
      <c r="P1725" s="137"/>
      <c r="Q1725" s="137"/>
      <c r="R1725" s="137"/>
      <c r="S1725" s="137"/>
      <c r="T1725" s="137"/>
      <c r="U1725" s="137"/>
      <c r="V1725" s="137"/>
      <c r="W1725" s="137"/>
    </row>
    <row r="1726" spans="1:23" x14ac:dyDescent="0.25">
      <c r="A1726" s="137"/>
      <c r="B1726" s="137"/>
      <c r="C1726" s="137"/>
      <c r="D1726" s="137"/>
      <c r="E1726" s="137"/>
      <c r="F1726" s="137"/>
      <c r="G1726" s="137"/>
      <c r="H1726" s="137"/>
      <c r="I1726" s="137"/>
      <c r="J1726" s="137"/>
      <c r="K1726" s="137"/>
      <c r="L1726" s="137"/>
      <c r="M1726" s="137"/>
      <c r="N1726" s="137"/>
      <c r="O1726" s="137"/>
      <c r="P1726" s="137"/>
      <c r="Q1726" s="137"/>
      <c r="R1726" s="137"/>
      <c r="S1726" s="137"/>
      <c r="T1726" s="137"/>
      <c r="U1726" s="137"/>
      <c r="V1726" s="137"/>
      <c r="W1726" s="137"/>
    </row>
    <row r="1727" spans="1:23" x14ac:dyDescent="0.25">
      <c r="A1727" s="137"/>
      <c r="B1727" s="137"/>
      <c r="C1727" s="137"/>
      <c r="D1727" s="137"/>
      <c r="E1727" s="137"/>
      <c r="F1727" s="137"/>
      <c r="G1727" s="137"/>
      <c r="H1727" s="137"/>
      <c r="I1727" s="137"/>
      <c r="J1727" s="137"/>
      <c r="K1727" s="137"/>
      <c r="L1727" s="137"/>
      <c r="M1727" s="137"/>
      <c r="N1727" s="137"/>
      <c r="O1727" s="137"/>
      <c r="P1727" s="137"/>
      <c r="Q1727" s="137"/>
      <c r="R1727" s="137"/>
      <c r="S1727" s="137"/>
      <c r="T1727" s="137"/>
      <c r="U1727" s="137"/>
      <c r="V1727" s="137"/>
      <c r="W1727" s="137"/>
    </row>
    <row r="1728" spans="1:23" x14ac:dyDescent="0.25">
      <c r="A1728" s="137"/>
      <c r="B1728" s="137"/>
      <c r="C1728" s="137"/>
      <c r="D1728" s="137"/>
      <c r="E1728" s="137"/>
      <c r="F1728" s="137"/>
      <c r="G1728" s="137"/>
      <c r="H1728" s="137"/>
      <c r="I1728" s="137"/>
      <c r="J1728" s="137"/>
      <c r="K1728" s="137"/>
      <c r="L1728" s="137"/>
      <c r="M1728" s="137"/>
      <c r="N1728" s="137"/>
      <c r="O1728" s="137"/>
      <c r="P1728" s="137"/>
      <c r="Q1728" s="137"/>
      <c r="R1728" s="137"/>
      <c r="S1728" s="137"/>
      <c r="T1728" s="137"/>
      <c r="U1728" s="137"/>
      <c r="V1728" s="137"/>
      <c r="W1728" s="137"/>
    </row>
    <row r="1729" spans="1:23" x14ac:dyDescent="0.25">
      <c r="A1729" s="137"/>
      <c r="B1729" s="137"/>
      <c r="C1729" s="137"/>
      <c r="D1729" s="137"/>
      <c r="E1729" s="137"/>
      <c r="F1729" s="137"/>
      <c r="G1729" s="137"/>
      <c r="H1729" s="137"/>
      <c r="I1729" s="137"/>
      <c r="J1729" s="137"/>
      <c r="K1729" s="137"/>
      <c r="L1729" s="137"/>
      <c r="M1729" s="137"/>
      <c r="N1729" s="137"/>
      <c r="O1729" s="137"/>
      <c r="P1729" s="137"/>
      <c r="Q1729" s="137"/>
      <c r="R1729" s="137"/>
      <c r="S1729" s="137"/>
      <c r="T1729" s="137"/>
      <c r="U1729" s="137"/>
      <c r="V1729" s="137"/>
      <c r="W1729" s="137"/>
    </row>
    <row r="1730" spans="1:23" x14ac:dyDescent="0.25">
      <c r="A1730" s="137"/>
      <c r="B1730" s="137"/>
      <c r="C1730" s="137"/>
      <c r="D1730" s="137"/>
      <c r="E1730" s="137"/>
      <c r="F1730" s="137"/>
      <c r="G1730" s="137"/>
      <c r="H1730" s="137"/>
      <c r="I1730" s="137"/>
      <c r="J1730" s="137"/>
      <c r="K1730" s="137"/>
      <c r="L1730" s="137"/>
      <c r="M1730" s="137"/>
      <c r="N1730" s="137"/>
      <c r="O1730" s="137"/>
      <c r="P1730" s="137"/>
      <c r="Q1730" s="137"/>
      <c r="R1730" s="137"/>
      <c r="S1730" s="137"/>
      <c r="T1730" s="137"/>
      <c r="U1730" s="137"/>
      <c r="V1730" s="137"/>
      <c r="W1730" s="137"/>
    </row>
    <row r="1731" spans="1:23" x14ac:dyDescent="0.25">
      <c r="A1731" s="137"/>
      <c r="B1731" s="137"/>
      <c r="C1731" s="137"/>
      <c r="D1731" s="137"/>
      <c r="E1731" s="137"/>
      <c r="F1731" s="137"/>
      <c r="G1731" s="137"/>
      <c r="H1731" s="137"/>
      <c r="I1731" s="137"/>
      <c r="J1731" s="137"/>
      <c r="K1731" s="137"/>
      <c r="L1731" s="137"/>
      <c r="M1731" s="137"/>
      <c r="N1731" s="137"/>
      <c r="O1731" s="137"/>
      <c r="P1731" s="137"/>
      <c r="Q1731" s="137"/>
      <c r="R1731" s="137"/>
      <c r="S1731" s="137"/>
      <c r="T1731" s="137"/>
      <c r="U1731" s="137"/>
      <c r="V1731" s="137"/>
      <c r="W1731" s="137"/>
    </row>
    <row r="1732" spans="1:23" x14ac:dyDescent="0.25">
      <c r="A1732" s="137"/>
      <c r="B1732" s="137"/>
      <c r="C1732" s="137"/>
      <c r="D1732" s="137"/>
      <c r="E1732" s="137"/>
      <c r="F1732" s="137"/>
      <c r="G1732" s="137"/>
      <c r="H1732" s="137"/>
      <c r="I1732" s="137"/>
      <c r="J1732" s="137"/>
      <c r="K1732" s="137"/>
      <c r="L1732" s="137"/>
      <c r="M1732" s="137"/>
      <c r="N1732" s="137"/>
      <c r="O1732" s="137"/>
      <c r="P1732" s="137"/>
      <c r="Q1732" s="137"/>
      <c r="R1732" s="137"/>
      <c r="S1732" s="137"/>
      <c r="T1732" s="137"/>
      <c r="U1732" s="137"/>
      <c r="V1732" s="137"/>
      <c r="W1732" s="137"/>
    </row>
    <row r="1733" spans="1:23" x14ac:dyDescent="0.25">
      <c r="A1733" s="137"/>
      <c r="B1733" s="137"/>
      <c r="C1733" s="137"/>
      <c r="D1733" s="137"/>
      <c r="E1733" s="137"/>
      <c r="F1733" s="137"/>
      <c r="G1733" s="137"/>
      <c r="H1733" s="137"/>
      <c r="I1733" s="137"/>
      <c r="J1733" s="137"/>
      <c r="K1733" s="137"/>
      <c r="L1733" s="137"/>
      <c r="M1733" s="137"/>
      <c r="N1733" s="137"/>
      <c r="O1733" s="137"/>
      <c r="P1733" s="137"/>
      <c r="Q1733" s="137"/>
      <c r="R1733" s="137"/>
      <c r="S1733" s="137"/>
      <c r="T1733" s="137"/>
      <c r="U1733" s="137"/>
      <c r="V1733" s="137"/>
      <c r="W1733" s="137"/>
    </row>
    <row r="1734" spans="1:23" x14ac:dyDescent="0.25">
      <c r="A1734" s="137"/>
      <c r="B1734" s="137"/>
      <c r="C1734" s="137"/>
      <c r="D1734" s="137"/>
      <c r="E1734" s="137"/>
      <c r="F1734" s="137"/>
      <c r="G1734" s="137"/>
      <c r="H1734" s="137"/>
      <c r="I1734" s="137"/>
      <c r="J1734" s="137"/>
      <c r="K1734" s="137"/>
      <c r="L1734" s="137"/>
      <c r="M1734" s="137"/>
      <c r="N1734" s="137"/>
      <c r="O1734" s="137"/>
      <c r="P1734" s="137"/>
      <c r="Q1734" s="137"/>
      <c r="R1734" s="137"/>
      <c r="S1734" s="137"/>
      <c r="T1734" s="137"/>
      <c r="U1734" s="137"/>
      <c r="V1734" s="137"/>
      <c r="W1734" s="137"/>
    </row>
    <row r="1735" spans="1:23" x14ac:dyDescent="0.25">
      <c r="A1735" s="137"/>
      <c r="B1735" s="137"/>
      <c r="C1735" s="137"/>
      <c r="D1735" s="137"/>
      <c r="E1735" s="137"/>
      <c r="F1735" s="137"/>
      <c r="G1735" s="137"/>
      <c r="H1735" s="137"/>
      <c r="I1735" s="137"/>
      <c r="J1735" s="137"/>
      <c r="K1735" s="137"/>
      <c r="L1735" s="137"/>
      <c r="M1735" s="137"/>
      <c r="N1735" s="137"/>
      <c r="O1735" s="137"/>
      <c r="P1735" s="137"/>
      <c r="Q1735" s="137"/>
      <c r="R1735" s="137"/>
      <c r="S1735" s="137"/>
      <c r="T1735" s="137"/>
      <c r="U1735" s="137"/>
      <c r="V1735" s="137"/>
      <c r="W1735" s="137"/>
    </row>
    <row r="1736" spans="1:23" x14ac:dyDescent="0.25">
      <c r="A1736" s="137"/>
      <c r="B1736" s="137"/>
      <c r="C1736" s="137"/>
      <c r="D1736" s="137"/>
      <c r="E1736" s="137"/>
      <c r="F1736" s="137"/>
      <c r="G1736" s="137"/>
      <c r="H1736" s="137"/>
      <c r="I1736" s="137"/>
      <c r="J1736" s="137"/>
      <c r="K1736" s="137"/>
      <c r="L1736" s="137"/>
      <c r="M1736" s="137"/>
      <c r="N1736" s="137"/>
      <c r="O1736" s="137"/>
      <c r="P1736" s="137"/>
      <c r="Q1736" s="137"/>
      <c r="R1736" s="137"/>
      <c r="S1736" s="137"/>
      <c r="T1736" s="137"/>
      <c r="U1736" s="137"/>
      <c r="V1736" s="137"/>
      <c r="W1736" s="137"/>
    </row>
    <row r="1737" spans="1:23" x14ac:dyDescent="0.25">
      <c r="A1737" s="137"/>
      <c r="B1737" s="137"/>
      <c r="C1737" s="137"/>
      <c r="D1737" s="137"/>
      <c r="E1737" s="137"/>
      <c r="F1737" s="137"/>
      <c r="G1737" s="137"/>
      <c r="H1737" s="137"/>
      <c r="I1737" s="137"/>
      <c r="J1737" s="137"/>
      <c r="K1737" s="137"/>
      <c r="L1737" s="137"/>
      <c r="M1737" s="137"/>
      <c r="N1737" s="137"/>
      <c r="O1737" s="137"/>
      <c r="P1737" s="137"/>
      <c r="Q1737" s="137"/>
      <c r="R1737" s="137"/>
      <c r="S1737" s="137"/>
      <c r="T1737" s="137"/>
      <c r="U1737" s="137"/>
      <c r="V1737" s="137"/>
      <c r="W1737" s="137"/>
    </row>
    <row r="1738" spans="1:23" x14ac:dyDescent="0.25">
      <c r="A1738" s="137"/>
      <c r="B1738" s="137"/>
      <c r="C1738" s="137"/>
      <c r="D1738" s="137"/>
      <c r="E1738" s="137"/>
      <c r="F1738" s="137"/>
      <c r="G1738" s="137"/>
      <c r="H1738" s="137"/>
      <c r="I1738" s="137"/>
      <c r="J1738" s="137"/>
      <c r="K1738" s="137"/>
      <c r="L1738" s="137"/>
      <c r="M1738" s="137"/>
      <c r="N1738" s="137"/>
      <c r="O1738" s="137"/>
      <c r="P1738" s="137"/>
      <c r="Q1738" s="137"/>
      <c r="R1738" s="137"/>
      <c r="S1738" s="137"/>
      <c r="T1738" s="137"/>
      <c r="U1738" s="137"/>
      <c r="V1738" s="137"/>
      <c r="W1738" s="137"/>
    </row>
    <row r="1739" spans="1:23" x14ac:dyDescent="0.25">
      <c r="A1739" s="137"/>
      <c r="B1739" s="137"/>
      <c r="C1739" s="137"/>
      <c r="D1739" s="137"/>
      <c r="E1739" s="137"/>
      <c r="F1739" s="137"/>
      <c r="G1739" s="137"/>
      <c r="H1739" s="137"/>
      <c r="I1739" s="137"/>
      <c r="J1739" s="137"/>
      <c r="K1739" s="137"/>
      <c r="L1739" s="137"/>
      <c r="M1739" s="137"/>
      <c r="N1739" s="137"/>
      <c r="O1739" s="137"/>
      <c r="P1739" s="137"/>
      <c r="Q1739" s="137"/>
      <c r="R1739" s="137"/>
      <c r="S1739" s="137"/>
      <c r="T1739" s="137"/>
      <c r="U1739" s="137"/>
      <c r="V1739" s="137"/>
      <c r="W1739" s="137"/>
    </row>
    <row r="1740" spans="1:23" x14ac:dyDescent="0.25">
      <c r="A1740" s="137"/>
      <c r="B1740" s="137"/>
      <c r="C1740" s="137"/>
      <c r="D1740" s="137"/>
      <c r="E1740" s="137"/>
      <c r="F1740" s="137"/>
      <c r="G1740" s="137"/>
      <c r="H1740" s="137"/>
      <c r="I1740" s="137"/>
      <c r="J1740" s="137"/>
      <c r="K1740" s="137"/>
      <c r="L1740" s="137"/>
      <c r="M1740" s="137"/>
      <c r="N1740" s="137"/>
      <c r="O1740" s="137"/>
      <c r="P1740" s="137"/>
      <c r="Q1740" s="137"/>
      <c r="R1740" s="137"/>
      <c r="S1740" s="137"/>
      <c r="T1740" s="137"/>
      <c r="U1740" s="137"/>
      <c r="V1740" s="137"/>
      <c r="W1740" s="137"/>
    </row>
    <row r="1741" spans="1:23" x14ac:dyDescent="0.25">
      <c r="A1741" s="137"/>
      <c r="B1741" s="137"/>
      <c r="C1741" s="137"/>
      <c r="D1741" s="137"/>
      <c r="E1741" s="137"/>
      <c r="F1741" s="137"/>
      <c r="G1741" s="137"/>
      <c r="H1741" s="137"/>
      <c r="I1741" s="137"/>
      <c r="J1741" s="137"/>
      <c r="K1741" s="137"/>
      <c r="L1741" s="137"/>
      <c r="M1741" s="137"/>
      <c r="N1741" s="137"/>
      <c r="O1741" s="137"/>
      <c r="P1741" s="137"/>
      <c r="Q1741" s="137"/>
      <c r="R1741" s="137"/>
      <c r="S1741" s="137"/>
      <c r="T1741" s="137"/>
      <c r="U1741" s="137"/>
      <c r="V1741" s="137"/>
      <c r="W1741" s="137"/>
    </row>
    <row r="1742" spans="1:23" x14ac:dyDescent="0.25">
      <c r="A1742" s="137"/>
      <c r="B1742" s="137"/>
      <c r="C1742" s="137"/>
      <c r="D1742" s="137"/>
      <c r="E1742" s="137"/>
      <c r="F1742" s="137"/>
      <c r="G1742" s="137"/>
      <c r="H1742" s="137"/>
      <c r="I1742" s="137"/>
      <c r="J1742" s="137"/>
      <c r="K1742" s="137"/>
      <c r="L1742" s="137"/>
      <c r="M1742" s="137"/>
      <c r="N1742" s="137"/>
      <c r="O1742" s="137"/>
      <c r="P1742" s="137"/>
      <c r="Q1742" s="137"/>
      <c r="R1742" s="137"/>
      <c r="S1742" s="137"/>
      <c r="T1742" s="137"/>
      <c r="U1742" s="137"/>
      <c r="V1742" s="137"/>
      <c r="W1742" s="137"/>
    </row>
    <row r="1743" spans="1:23" x14ac:dyDescent="0.25">
      <c r="A1743" s="137"/>
      <c r="B1743" s="137"/>
      <c r="C1743" s="137"/>
      <c r="D1743" s="137"/>
      <c r="E1743" s="137"/>
      <c r="F1743" s="137"/>
      <c r="G1743" s="137"/>
      <c r="H1743" s="137"/>
      <c r="I1743" s="137"/>
      <c r="J1743" s="137"/>
      <c r="K1743" s="137"/>
      <c r="L1743" s="137"/>
      <c r="M1743" s="137"/>
      <c r="N1743" s="137"/>
      <c r="O1743" s="137"/>
      <c r="P1743" s="137"/>
      <c r="Q1743" s="137"/>
      <c r="R1743" s="137"/>
      <c r="S1743" s="137"/>
      <c r="T1743" s="137"/>
      <c r="U1743" s="137"/>
      <c r="V1743" s="137"/>
      <c r="W1743" s="137"/>
    </row>
    <row r="1744" spans="1:23" x14ac:dyDescent="0.25">
      <c r="A1744" s="137"/>
      <c r="B1744" s="137"/>
      <c r="C1744" s="137"/>
      <c r="D1744" s="137"/>
      <c r="E1744" s="137"/>
      <c r="F1744" s="137"/>
      <c r="G1744" s="137"/>
      <c r="H1744" s="137"/>
      <c r="I1744" s="137"/>
      <c r="J1744" s="137"/>
      <c r="K1744" s="137"/>
      <c r="L1744" s="137"/>
      <c r="M1744" s="137"/>
      <c r="N1744" s="137"/>
      <c r="O1744" s="137"/>
      <c r="P1744" s="137"/>
      <c r="Q1744" s="137"/>
      <c r="R1744" s="137"/>
      <c r="S1744" s="137"/>
      <c r="T1744" s="137"/>
      <c r="U1744" s="137"/>
      <c r="V1744" s="137"/>
      <c r="W1744" s="137"/>
    </row>
    <row r="1745" spans="1:23" x14ac:dyDescent="0.25">
      <c r="A1745" s="137"/>
      <c r="B1745" s="137"/>
      <c r="C1745" s="137"/>
      <c r="D1745" s="137"/>
      <c r="E1745" s="137"/>
      <c r="F1745" s="137"/>
      <c r="G1745" s="137"/>
      <c r="H1745" s="137"/>
      <c r="I1745" s="137"/>
      <c r="J1745" s="137"/>
      <c r="K1745" s="137"/>
      <c r="L1745" s="137"/>
      <c r="M1745" s="137"/>
      <c r="N1745" s="137"/>
      <c r="O1745" s="137"/>
      <c r="P1745" s="137"/>
      <c r="Q1745" s="137"/>
      <c r="R1745" s="137"/>
      <c r="S1745" s="137"/>
      <c r="T1745" s="137"/>
      <c r="U1745" s="137"/>
      <c r="V1745" s="137"/>
      <c r="W1745" s="137"/>
    </row>
    <row r="1746" spans="1:23" x14ac:dyDescent="0.25">
      <c r="A1746" s="137"/>
      <c r="B1746" s="137"/>
      <c r="C1746" s="137"/>
      <c r="D1746" s="137"/>
      <c r="E1746" s="137"/>
      <c r="F1746" s="137"/>
      <c r="G1746" s="137"/>
      <c r="H1746" s="137"/>
      <c r="I1746" s="137"/>
      <c r="J1746" s="137"/>
      <c r="K1746" s="137"/>
      <c r="L1746" s="137"/>
      <c r="M1746" s="137"/>
      <c r="N1746" s="137"/>
      <c r="O1746" s="137"/>
      <c r="P1746" s="137"/>
      <c r="Q1746" s="137"/>
      <c r="R1746" s="137"/>
      <c r="S1746" s="137"/>
      <c r="T1746" s="137"/>
      <c r="U1746" s="137"/>
      <c r="V1746" s="137"/>
      <c r="W1746" s="137"/>
    </row>
    <row r="1747" spans="1:23" x14ac:dyDescent="0.25">
      <c r="A1747" s="137"/>
      <c r="B1747" s="137"/>
      <c r="C1747" s="137"/>
      <c r="D1747" s="137"/>
      <c r="E1747" s="137"/>
      <c r="F1747" s="137"/>
      <c r="G1747" s="137"/>
      <c r="H1747" s="137"/>
      <c r="I1747" s="137"/>
      <c r="J1747" s="137"/>
      <c r="K1747" s="137"/>
      <c r="L1747" s="137"/>
      <c r="M1747" s="137"/>
      <c r="N1747" s="137"/>
      <c r="O1747" s="137"/>
      <c r="P1747" s="137"/>
      <c r="Q1747" s="137"/>
      <c r="R1747" s="137"/>
      <c r="S1747" s="137"/>
      <c r="T1747" s="137"/>
      <c r="U1747" s="137"/>
      <c r="V1747" s="137"/>
      <c r="W1747" s="137"/>
    </row>
    <row r="1748" spans="1:23" x14ac:dyDescent="0.25">
      <c r="A1748" s="137"/>
      <c r="B1748" s="137"/>
      <c r="C1748" s="137"/>
      <c r="D1748" s="137"/>
      <c r="E1748" s="137"/>
      <c r="F1748" s="137"/>
      <c r="G1748" s="137"/>
      <c r="H1748" s="137"/>
      <c r="I1748" s="137"/>
      <c r="J1748" s="137"/>
      <c r="K1748" s="137"/>
      <c r="L1748" s="137"/>
      <c r="M1748" s="137"/>
      <c r="N1748" s="137"/>
      <c r="O1748" s="137"/>
      <c r="P1748" s="137"/>
      <c r="Q1748" s="137"/>
      <c r="R1748" s="137"/>
      <c r="S1748" s="137"/>
      <c r="T1748" s="137"/>
      <c r="U1748" s="137"/>
      <c r="V1748" s="137"/>
      <c r="W1748" s="137"/>
    </row>
    <row r="1749" spans="1:23" x14ac:dyDescent="0.25">
      <c r="A1749" s="137"/>
      <c r="B1749" s="137"/>
      <c r="C1749" s="137"/>
      <c r="D1749" s="137"/>
      <c r="E1749" s="137"/>
      <c r="F1749" s="137"/>
      <c r="G1749" s="137"/>
      <c r="H1749" s="137"/>
      <c r="I1749" s="137"/>
      <c r="J1749" s="137"/>
      <c r="K1749" s="137"/>
      <c r="L1749" s="137"/>
      <c r="M1749" s="137"/>
      <c r="N1749" s="137"/>
      <c r="O1749" s="137"/>
      <c r="P1749" s="137"/>
      <c r="Q1749" s="137"/>
      <c r="R1749" s="137"/>
      <c r="S1749" s="137"/>
      <c r="T1749" s="137"/>
      <c r="U1749" s="137"/>
      <c r="V1749" s="137"/>
      <c r="W1749" s="137"/>
    </row>
    <row r="1750" spans="1:23" x14ac:dyDescent="0.25">
      <c r="A1750" s="137"/>
      <c r="B1750" s="137"/>
      <c r="C1750" s="137"/>
      <c r="D1750" s="137"/>
      <c r="E1750" s="137"/>
      <c r="F1750" s="137"/>
      <c r="G1750" s="137"/>
      <c r="H1750" s="137"/>
      <c r="I1750" s="137"/>
      <c r="J1750" s="137"/>
      <c r="K1750" s="137"/>
      <c r="L1750" s="137"/>
      <c r="M1750" s="137"/>
      <c r="N1750" s="137"/>
      <c r="O1750" s="137"/>
      <c r="P1750" s="137"/>
      <c r="Q1750" s="137"/>
      <c r="R1750" s="137"/>
      <c r="S1750" s="137"/>
      <c r="T1750" s="137"/>
      <c r="U1750" s="137"/>
      <c r="V1750" s="137"/>
      <c r="W1750" s="137"/>
    </row>
    <row r="1751" spans="1:23" x14ac:dyDescent="0.25">
      <c r="A1751" s="137"/>
      <c r="B1751" s="137"/>
      <c r="C1751" s="137"/>
      <c r="D1751" s="137"/>
      <c r="E1751" s="137"/>
      <c r="F1751" s="137"/>
      <c r="G1751" s="137"/>
      <c r="H1751" s="137"/>
      <c r="I1751" s="137"/>
      <c r="J1751" s="137"/>
      <c r="K1751" s="137"/>
      <c r="L1751" s="137"/>
      <c r="M1751" s="137"/>
      <c r="N1751" s="137"/>
      <c r="O1751" s="137"/>
      <c r="P1751" s="137"/>
      <c r="Q1751" s="137"/>
      <c r="R1751" s="137"/>
      <c r="S1751" s="137"/>
      <c r="T1751" s="137"/>
      <c r="U1751" s="137"/>
      <c r="V1751" s="137"/>
      <c r="W1751" s="137"/>
    </row>
    <row r="1752" spans="1:23" x14ac:dyDescent="0.25">
      <c r="A1752" s="137"/>
      <c r="B1752" s="137"/>
      <c r="C1752" s="137"/>
      <c r="D1752" s="137"/>
      <c r="E1752" s="137"/>
      <c r="F1752" s="137"/>
      <c r="G1752" s="137"/>
      <c r="H1752" s="137"/>
      <c r="I1752" s="137"/>
      <c r="J1752" s="137"/>
      <c r="K1752" s="137"/>
      <c r="L1752" s="137"/>
      <c r="M1752" s="137"/>
      <c r="N1752" s="137"/>
      <c r="O1752" s="137"/>
      <c r="P1752" s="137"/>
      <c r="Q1752" s="137"/>
      <c r="R1752" s="137"/>
      <c r="S1752" s="137"/>
      <c r="T1752" s="137"/>
      <c r="U1752" s="137"/>
      <c r="V1752" s="137"/>
      <c r="W1752" s="137"/>
    </row>
    <row r="1753" spans="1:23" x14ac:dyDescent="0.25">
      <c r="A1753" s="137"/>
      <c r="B1753" s="137"/>
      <c r="C1753" s="137"/>
      <c r="D1753" s="137"/>
      <c r="E1753" s="137"/>
      <c r="F1753" s="137"/>
      <c r="G1753" s="137"/>
      <c r="H1753" s="137"/>
      <c r="I1753" s="137"/>
      <c r="J1753" s="137"/>
      <c r="K1753" s="137"/>
      <c r="L1753" s="137"/>
      <c r="M1753" s="137"/>
      <c r="N1753" s="137"/>
      <c r="O1753" s="137"/>
      <c r="P1753" s="137"/>
      <c r="Q1753" s="137"/>
      <c r="R1753" s="137"/>
      <c r="S1753" s="137"/>
      <c r="T1753" s="137"/>
      <c r="U1753" s="137"/>
      <c r="V1753" s="137"/>
      <c r="W1753" s="137"/>
    </row>
    <row r="1754" spans="1:23" x14ac:dyDescent="0.25">
      <c r="A1754" s="137"/>
      <c r="B1754" s="137"/>
      <c r="C1754" s="137"/>
      <c r="D1754" s="137"/>
      <c r="E1754" s="137"/>
      <c r="F1754" s="137"/>
      <c r="G1754" s="137"/>
      <c r="H1754" s="137"/>
      <c r="I1754" s="137"/>
      <c r="J1754" s="137"/>
      <c r="K1754" s="137"/>
      <c r="L1754" s="137"/>
      <c r="M1754" s="137"/>
      <c r="N1754" s="137"/>
      <c r="O1754" s="137"/>
      <c r="P1754" s="137"/>
      <c r="Q1754" s="137"/>
      <c r="R1754" s="137"/>
      <c r="S1754" s="137"/>
      <c r="T1754" s="137"/>
      <c r="U1754" s="137"/>
      <c r="V1754" s="137"/>
      <c r="W1754" s="137"/>
    </row>
    <row r="1755" spans="1:23" x14ac:dyDescent="0.25">
      <c r="A1755" s="137"/>
      <c r="B1755" s="137"/>
      <c r="C1755" s="137"/>
      <c r="D1755" s="137"/>
      <c r="E1755" s="137"/>
      <c r="F1755" s="137"/>
      <c r="G1755" s="137"/>
      <c r="H1755" s="137"/>
      <c r="I1755" s="137"/>
      <c r="J1755" s="137"/>
      <c r="K1755" s="137"/>
      <c r="L1755" s="137"/>
      <c r="M1755" s="137"/>
      <c r="N1755" s="137"/>
      <c r="O1755" s="137"/>
      <c r="P1755" s="137"/>
      <c r="Q1755" s="137"/>
      <c r="R1755" s="137"/>
      <c r="S1755" s="137"/>
      <c r="T1755" s="137"/>
      <c r="U1755" s="137"/>
      <c r="V1755" s="137"/>
      <c r="W1755" s="137"/>
    </row>
    <row r="1756" spans="1:23" x14ac:dyDescent="0.25">
      <c r="A1756" s="137"/>
      <c r="B1756" s="137"/>
      <c r="C1756" s="137"/>
      <c r="D1756" s="137"/>
      <c r="E1756" s="137"/>
      <c r="F1756" s="137"/>
      <c r="G1756" s="137"/>
      <c r="H1756" s="137"/>
      <c r="I1756" s="137"/>
      <c r="J1756" s="137"/>
      <c r="K1756" s="137"/>
      <c r="L1756" s="137"/>
      <c r="M1756" s="137"/>
      <c r="N1756" s="137"/>
      <c r="O1756" s="137"/>
      <c r="P1756" s="137"/>
      <c r="Q1756" s="137"/>
      <c r="R1756" s="137"/>
      <c r="S1756" s="137"/>
      <c r="T1756" s="137"/>
      <c r="U1756" s="137"/>
      <c r="V1756" s="137"/>
      <c r="W1756" s="137"/>
    </row>
    <row r="1757" spans="1:23" x14ac:dyDescent="0.25">
      <c r="A1757" s="137"/>
      <c r="B1757" s="137"/>
      <c r="C1757" s="137"/>
      <c r="D1757" s="137"/>
      <c r="E1757" s="137"/>
      <c r="F1757" s="137"/>
      <c r="G1757" s="137"/>
      <c r="H1757" s="137"/>
      <c r="I1757" s="137"/>
      <c r="J1757" s="137"/>
      <c r="K1757" s="137"/>
      <c r="L1757" s="137"/>
      <c r="M1757" s="137"/>
      <c r="N1757" s="137"/>
      <c r="O1757" s="137"/>
      <c r="P1757" s="137"/>
      <c r="Q1757" s="137"/>
      <c r="R1757" s="137"/>
      <c r="S1757" s="137"/>
      <c r="T1757" s="137"/>
      <c r="U1757" s="137"/>
      <c r="V1757" s="137"/>
      <c r="W1757" s="137"/>
    </row>
    <row r="1758" spans="1:23" x14ac:dyDescent="0.25">
      <c r="A1758" s="137"/>
      <c r="B1758" s="137"/>
      <c r="C1758" s="137"/>
      <c r="D1758" s="137"/>
      <c r="E1758" s="137"/>
      <c r="F1758" s="137"/>
      <c r="G1758" s="137"/>
      <c r="H1758" s="137"/>
      <c r="I1758" s="137"/>
      <c r="J1758" s="137"/>
      <c r="K1758" s="137"/>
      <c r="L1758" s="137"/>
      <c r="M1758" s="137"/>
      <c r="N1758" s="137"/>
      <c r="O1758" s="137"/>
      <c r="P1758" s="137"/>
      <c r="Q1758" s="137"/>
      <c r="R1758" s="137"/>
      <c r="S1758" s="137"/>
      <c r="T1758" s="137"/>
      <c r="U1758" s="137"/>
      <c r="V1758" s="137"/>
      <c r="W1758" s="137"/>
    </row>
    <row r="1759" spans="1:23" x14ac:dyDescent="0.25">
      <c r="A1759" s="137"/>
      <c r="B1759" s="137"/>
      <c r="C1759" s="137"/>
      <c r="D1759" s="137"/>
      <c r="E1759" s="137"/>
      <c r="F1759" s="137"/>
      <c r="G1759" s="137"/>
      <c r="H1759" s="137"/>
      <c r="I1759" s="137"/>
      <c r="J1759" s="137"/>
      <c r="K1759" s="137"/>
      <c r="L1759" s="137"/>
      <c r="M1759" s="137"/>
      <c r="N1759" s="137"/>
      <c r="O1759" s="137"/>
      <c r="P1759" s="137"/>
      <c r="Q1759" s="137"/>
      <c r="R1759" s="137"/>
      <c r="S1759" s="137"/>
      <c r="T1759" s="137"/>
      <c r="U1759" s="137"/>
      <c r="V1759" s="137"/>
      <c r="W1759" s="137"/>
    </row>
    <row r="1760" spans="1:23" x14ac:dyDescent="0.25">
      <c r="A1760" s="137"/>
      <c r="B1760" s="137"/>
      <c r="C1760" s="137"/>
      <c r="D1760" s="137"/>
      <c r="E1760" s="137"/>
      <c r="F1760" s="137"/>
      <c r="G1760" s="137"/>
      <c r="H1760" s="137"/>
      <c r="I1760" s="137"/>
      <c r="J1760" s="137"/>
      <c r="K1760" s="137"/>
      <c r="L1760" s="137"/>
      <c r="M1760" s="137"/>
      <c r="N1760" s="137"/>
      <c r="O1760" s="137"/>
      <c r="P1760" s="137"/>
      <c r="Q1760" s="137"/>
      <c r="R1760" s="137"/>
      <c r="S1760" s="137"/>
      <c r="T1760" s="137"/>
      <c r="U1760" s="137"/>
      <c r="V1760" s="137"/>
      <c r="W1760" s="137"/>
    </row>
    <row r="1761" spans="1:23" x14ac:dyDescent="0.25">
      <c r="A1761" s="137"/>
      <c r="B1761" s="137"/>
      <c r="C1761" s="137"/>
      <c r="D1761" s="137"/>
      <c r="E1761" s="137"/>
      <c r="F1761" s="137"/>
      <c r="G1761" s="137"/>
      <c r="H1761" s="137"/>
      <c r="I1761" s="137"/>
      <c r="J1761" s="137"/>
      <c r="K1761" s="137"/>
      <c r="L1761" s="137"/>
      <c r="M1761" s="137"/>
      <c r="N1761" s="137"/>
      <c r="O1761" s="137"/>
      <c r="P1761" s="137"/>
      <c r="Q1761" s="137"/>
      <c r="R1761" s="137"/>
      <c r="S1761" s="137"/>
      <c r="T1761" s="137"/>
      <c r="U1761" s="137"/>
      <c r="V1761" s="137"/>
      <c r="W1761" s="137"/>
    </row>
    <row r="1762" spans="1:23" x14ac:dyDescent="0.25">
      <c r="A1762" s="137"/>
      <c r="B1762" s="137"/>
      <c r="C1762" s="137"/>
      <c r="D1762" s="137"/>
      <c r="E1762" s="137"/>
      <c r="F1762" s="137"/>
      <c r="G1762" s="137"/>
      <c r="H1762" s="137"/>
      <c r="I1762" s="137"/>
      <c r="J1762" s="137"/>
      <c r="K1762" s="137"/>
      <c r="L1762" s="137"/>
      <c r="M1762" s="137"/>
      <c r="N1762" s="137"/>
      <c r="O1762" s="137"/>
      <c r="P1762" s="137"/>
      <c r="Q1762" s="137"/>
      <c r="R1762" s="137"/>
      <c r="S1762" s="137"/>
      <c r="T1762" s="137"/>
      <c r="U1762" s="137"/>
      <c r="V1762" s="137"/>
      <c r="W1762" s="137"/>
    </row>
    <row r="1763" spans="1:23" x14ac:dyDescent="0.25">
      <c r="A1763" s="137"/>
      <c r="B1763" s="137"/>
      <c r="C1763" s="137"/>
      <c r="D1763" s="137"/>
      <c r="E1763" s="137"/>
      <c r="F1763" s="137"/>
      <c r="G1763" s="137"/>
      <c r="H1763" s="137"/>
      <c r="I1763" s="137"/>
      <c r="J1763" s="137"/>
      <c r="K1763" s="137"/>
      <c r="L1763" s="137"/>
      <c r="M1763" s="137"/>
      <c r="N1763" s="137"/>
      <c r="O1763" s="137"/>
      <c r="P1763" s="137"/>
      <c r="Q1763" s="137"/>
      <c r="R1763" s="137"/>
      <c r="S1763" s="137"/>
      <c r="T1763" s="137"/>
      <c r="U1763" s="137"/>
      <c r="V1763" s="137"/>
      <c r="W1763" s="137"/>
    </row>
    <row r="1764" spans="1:23" x14ac:dyDescent="0.25">
      <c r="A1764" s="137"/>
      <c r="B1764" s="137"/>
      <c r="C1764" s="137"/>
      <c r="D1764" s="137"/>
      <c r="E1764" s="137"/>
      <c r="F1764" s="137"/>
      <c r="G1764" s="137"/>
      <c r="H1764" s="137"/>
      <c r="I1764" s="137"/>
      <c r="J1764" s="137"/>
      <c r="K1764" s="137"/>
      <c r="L1764" s="137"/>
      <c r="M1764" s="137"/>
      <c r="N1764" s="137"/>
      <c r="O1764" s="137"/>
      <c r="P1764" s="137"/>
      <c r="Q1764" s="137"/>
      <c r="R1764" s="137"/>
      <c r="S1764" s="137"/>
      <c r="T1764" s="137"/>
      <c r="U1764" s="137"/>
      <c r="V1764" s="137"/>
      <c r="W1764" s="137"/>
    </row>
    <row r="1765" spans="1:23" x14ac:dyDescent="0.25">
      <c r="A1765" s="137"/>
      <c r="B1765" s="137"/>
      <c r="C1765" s="137"/>
      <c r="D1765" s="137"/>
      <c r="E1765" s="137"/>
      <c r="F1765" s="137"/>
      <c r="G1765" s="137"/>
      <c r="H1765" s="137"/>
      <c r="I1765" s="137"/>
      <c r="J1765" s="137"/>
      <c r="K1765" s="137"/>
      <c r="L1765" s="137"/>
      <c r="M1765" s="137"/>
      <c r="N1765" s="137"/>
      <c r="O1765" s="137"/>
      <c r="P1765" s="137"/>
      <c r="Q1765" s="137"/>
      <c r="R1765" s="137"/>
      <c r="S1765" s="137"/>
      <c r="T1765" s="137"/>
      <c r="U1765" s="137"/>
      <c r="V1765" s="137"/>
      <c r="W1765" s="137"/>
    </row>
    <row r="1766" spans="1:23" x14ac:dyDescent="0.25">
      <c r="A1766" s="137"/>
      <c r="B1766" s="137"/>
      <c r="C1766" s="137"/>
      <c r="D1766" s="137"/>
      <c r="E1766" s="137"/>
      <c r="F1766" s="137"/>
      <c r="G1766" s="137"/>
      <c r="H1766" s="137"/>
      <c r="I1766" s="137"/>
      <c r="J1766" s="137"/>
      <c r="K1766" s="137"/>
      <c r="L1766" s="137"/>
      <c r="M1766" s="137"/>
      <c r="N1766" s="137"/>
      <c r="O1766" s="137"/>
      <c r="P1766" s="137"/>
      <c r="Q1766" s="137"/>
      <c r="R1766" s="137"/>
      <c r="S1766" s="137"/>
      <c r="T1766" s="137"/>
      <c r="U1766" s="137"/>
      <c r="V1766" s="137"/>
      <c r="W1766" s="137"/>
    </row>
    <row r="1767" spans="1:23" x14ac:dyDescent="0.25">
      <c r="A1767" s="137"/>
      <c r="B1767" s="137"/>
      <c r="C1767" s="137"/>
      <c r="D1767" s="137"/>
      <c r="E1767" s="137"/>
      <c r="F1767" s="137"/>
      <c r="G1767" s="137"/>
      <c r="H1767" s="137"/>
      <c r="I1767" s="137"/>
      <c r="J1767" s="137"/>
      <c r="K1767" s="137"/>
      <c r="L1767" s="137"/>
      <c r="M1767" s="137"/>
      <c r="N1767" s="137"/>
      <c r="O1767" s="137"/>
      <c r="P1767" s="137"/>
      <c r="Q1767" s="137"/>
      <c r="R1767" s="137"/>
      <c r="S1767" s="137"/>
      <c r="T1767" s="137"/>
      <c r="U1767" s="137"/>
      <c r="V1767" s="137"/>
      <c r="W1767" s="137"/>
    </row>
    <row r="1768" spans="1:23" x14ac:dyDescent="0.25">
      <c r="A1768" s="137"/>
      <c r="B1768" s="137"/>
      <c r="C1768" s="137"/>
      <c r="D1768" s="137"/>
      <c r="E1768" s="137"/>
      <c r="F1768" s="137"/>
      <c r="G1768" s="137"/>
      <c r="H1768" s="137"/>
      <c r="I1768" s="137"/>
      <c r="J1768" s="137"/>
      <c r="K1768" s="137"/>
      <c r="L1768" s="137"/>
      <c r="M1768" s="137"/>
      <c r="N1768" s="137"/>
      <c r="O1768" s="137"/>
      <c r="P1768" s="137"/>
      <c r="Q1768" s="137"/>
      <c r="R1768" s="137"/>
      <c r="S1768" s="137"/>
      <c r="T1768" s="137"/>
      <c r="U1768" s="137"/>
      <c r="V1768" s="137"/>
      <c r="W1768" s="137"/>
    </row>
    <row r="1769" spans="1:23" x14ac:dyDescent="0.25">
      <c r="A1769" s="137"/>
      <c r="B1769" s="137"/>
      <c r="C1769" s="137"/>
      <c r="D1769" s="137"/>
      <c r="E1769" s="137"/>
      <c r="F1769" s="137"/>
      <c r="G1769" s="137"/>
      <c r="H1769" s="137"/>
      <c r="I1769" s="137"/>
      <c r="J1769" s="137"/>
      <c r="K1769" s="137"/>
      <c r="L1769" s="137"/>
      <c r="M1769" s="137"/>
      <c r="N1769" s="137"/>
      <c r="O1769" s="137"/>
      <c r="P1769" s="137"/>
      <c r="Q1769" s="137"/>
      <c r="R1769" s="137"/>
      <c r="S1769" s="137"/>
      <c r="T1769" s="137"/>
      <c r="U1769" s="137"/>
      <c r="V1769" s="137"/>
      <c r="W1769" s="137"/>
    </row>
    <row r="1770" spans="1:23" x14ac:dyDescent="0.25">
      <c r="A1770" s="137"/>
      <c r="B1770" s="137"/>
      <c r="C1770" s="137"/>
      <c r="D1770" s="137"/>
      <c r="E1770" s="137"/>
      <c r="F1770" s="137"/>
      <c r="G1770" s="137"/>
      <c r="H1770" s="137"/>
      <c r="I1770" s="137"/>
      <c r="J1770" s="137"/>
      <c r="K1770" s="137"/>
      <c r="L1770" s="137"/>
      <c r="M1770" s="137"/>
      <c r="N1770" s="137"/>
      <c r="O1770" s="137"/>
      <c r="P1770" s="137"/>
      <c r="Q1770" s="137"/>
      <c r="R1770" s="137"/>
      <c r="S1770" s="137"/>
      <c r="T1770" s="137"/>
      <c r="U1770" s="137"/>
      <c r="V1770" s="137"/>
      <c r="W1770" s="137"/>
    </row>
    <row r="1771" spans="1:23" x14ac:dyDescent="0.25">
      <c r="A1771" s="137"/>
      <c r="B1771" s="137"/>
      <c r="C1771" s="137"/>
      <c r="D1771" s="137"/>
      <c r="E1771" s="137"/>
      <c r="F1771" s="137"/>
      <c r="G1771" s="137"/>
      <c r="H1771" s="137"/>
      <c r="I1771" s="137"/>
      <c r="J1771" s="137"/>
      <c r="K1771" s="137"/>
      <c r="L1771" s="137"/>
      <c r="M1771" s="137"/>
      <c r="N1771" s="137"/>
      <c r="O1771" s="137"/>
      <c r="P1771" s="137"/>
      <c r="Q1771" s="137"/>
      <c r="R1771" s="137"/>
      <c r="S1771" s="137"/>
      <c r="T1771" s="137"/>
      <c r="U1771" s="137"/>
      <c r="V1771" s="137"/>
      <c r="W1771" s="137"/>
    </row>
    <row r="1772" spans="1:23" x14ac:dyDescent="0.25">
      <c r="A1772" s="137"/>
      <c r="B1772" s="137"/>
      <c r="C1772" s="137"/>
      <c r="D1772" s="137"/>
      <c r="E1772" s="137"/>
      <c r="F1772" s="137"/>
      <c r="G1772" s="137"/>
      <c r="H1772" s="137"/>
      <c r="I1772" s="137"/>
      <c r="J1772" s="137"/>
      <c r="K1772" s="137"/>
      <c r="L1772" s="137"/>
      <c r="M1772" s="137"/>
      <c r="N1772" s="137"/>
      <c r="O1772" s="137"/>
      <c r="P1772" s="137"/>
      <c r="Q1772" s="137"/>
      <c r="R1772" s="137"/>
      <c r="S1772" s="137"/>
      <c r="T1772" s="137"/>
      <c r="U1772" s="137"/>
      <c r="V1772" s="137"/>
      <c r="W1772" s="137"/>
    </row>
    <row r="1773" spans="1:23" x14ac:dyDescent="0.25">
      <c r="A1773" s="137"/>
      <c r="B1773" s="137"/>
      <c r="C1773" s="137"/>
      <c r="D1773" s="137"/>
      <c r="E1773" s="137"/>
      <c r="F1773" s="137"/>
      <c r="G1773" s="137"/>
      <c r="H1773" s="137"/>
      <c r="I1773" s="137"/>
      <c r="J1773" s="137"/>
      <c r="K1773" s="137"/>
      <c r="L1773" s="137"/>
      <c r="M1773" s="137"/>
      <c r="N1773" s="137"/>
      <c r="O1773" s="137"/>
      <c r="P1773" s="137"/>
      <c r="Q1773" s="137"/>
      <c r="R1773" s="137"/>
      <c r="S1773" s="137"/>
      <c r="T1773" s="137"/>
      <c r="U1773" s="137"/>
      <c r="V1773" s="137"/>
      <c r="W1773" s="137"/>
    </row>
    <row r="1774" spans="1:23" x14ac:dyDescent="0.25">
      <c r="A1774" s="137"/>
      <c r="B1774" s="137"/>
      <c r="C1774" s="137"/>
      <c r="D1774" s="137"/>
      <c r="E1774" s="137"/>
      <c r="F1774" s="137"/>
      <c r="G1774" s="137"/>
      <c r="H1774" s="137"/>
      <c r="I1774" s="137"/>
      <c r="J1774" s="137"/>
      <c r="K1774" s="137"/>
      <c r="L1774" s="137"/>
      <c r="M1774" s="137"/>
      <c r="N1774" s="137"/>
      <c r="O1774" s="137"/>
      <c r="P1774" s="137"/>
      <c r="Q1774" s="137"/>
      <c r="R1774" s="137"/>
      <c r="S1774" s="137"/>
      <c r="T1774" s="137"/>
      <c r="U1774" s="137"/>
      <c r="V1774" s="137"/>
      <c r="W1774" s="137"/>
    </row>
    <row r="1775" spans="1:23" x14ac:dyDescent="0.25">
      <c r="A1775" s="137"/>
      <c r="B1775" s="137"/>
      <c r="C1775" s="137"/>
      <c r="D1775" s="137"/>
      <c r="E1775" s="137"/>
      <c r="F1775" s="137"/>
      <c r="G1775" s="137"/>
      <c r="H1775" s="137"/>
      <c r="I1775" s="137"/>
      <c r="J1775" s="137"/>
      <c r="K1775" s="137"/>
      <c r="L1775" s="137"/>
      <c r="M1775" s="137"/>
      <c r="N1775" s="137"/>
      <c r="O1775" s="137"/>
      <c r="P1775" s="137"/>
      <c r="Q1775" s="137"/>
      <c r="R1775" s="137"/>
      <c r="S1775" s="137"/>
      <c r="T1775" s="137"/>
      <c r="U1775" s="137"/>
      <c r="V1775" s="137"/>
      <c r="W1775" s="137"/>
    </row>
    <row r="1776" spans="1:23" x14ac:dyDescent="0.25">
      <c r="A1776" s="137"/>
      <c r="B1776" s="137"/>
      <c r="C1776" s="137"/>
      <c r="D1776" s="137"/>
      <c r="E1776" s="137"/>
      <c r="F1776" s="137"/>
      <c r="G1776" s="137"/>
      <c r="H1776" s="137"/>
      <c r="I1776" s="137"/>
      <c r="J1776" s="137"/>
      <c r="K1776" s="137"/>
      <c r="L1776" s="137"/>
      <c r="M1776" s="137"/>
      <c r="N1776" s="137"/>
      <c r="O1776" s="137"/>
      <c r="P1776" s="137"/>
      <c r="Q1776" s="137"/>
      <c r="R1776" s="137"/>
      <c r="S1776" s="137"/>
      <c r="T1776" s="137"/>
      <c r="U1776" s="137"/>
      <c r="V1776" s="137"/>
      <c r="W1776" s="137"/>
    </row>
    <row r="1777" spans="1:23" x14ac:dyDescent="0.25">
      <c r="A1777" s="137"/>
      <c r="B1777" s="137"/>
      <c r="C1777" s="137"/>
      <c r="D1777" s="137"/>
      <c r="E1777" s="137"/>
      <c r="F1777" s="137"/>
      <c r="G1777" s="137"/>
      <c r="H1777" s="137"/>
      <c r="I1777" s="137"/>
      <c r="J1777" s="137"/>
      <c r="K1777" s="137"/>
      <c r="L1777" s="137"/>
      <c r="M1777" s="137"/>
      <c r="N1777" s="137"/>
      <c r="O1777" s="137"/>
      <c r="P1777" s="137"/>
      <c r="Q1777" s="137"/>
      <c r="R1777" s="137"/>
      <c r="S1777" s="137"/>
      <c r="T1777" s="137"/>
      <c r="U1777" s="137"/>
      <c r="V1777" s="137"/>
      <c r="W1777" s="137"/>
    </row>
    <row r="1778" spans="1:23" x14ac:dyDescent="0.25">
      <c r="A1778" s="137"/>
      <c r="B1778" s="137"/>
      <c r="C1778" s="137"/>
      <c r="D1778" s="137"/>
      <c r="E1778" s="137"/>
      <c r="F1778" s="137"/>
      <c r="G1778" s="137"/>
      <c r="H1778" s="137"/>
      <c r="I1778" s="137"/>
      <c r="J1778" s="137"/>
      <c r="K1778" s="137"/>
      <c r="L1778" s="137"/>
      <c r="M1778" s="137"/>
      <c r="N1778" s="137"/>
      <c r="O1778" s="137"/>
      <c r="P1778" s="137"/>
      <c r="Q1778" s="137"/>
      <c r="R1778" s="137"/>
      <c r="S1778" s="137"/>
      <c r="T1778" s="137"/>
      <c r="U1778" s="137"/>
      <c r="V1778" s="137"/>
      <c r="W1778" s="137"/>
    </row>
    <row r="1779" spans="1:23" x14ac:dyDescent="0.25">
      <c r="A1779" s="137"/>
      <c r="B1779" s="137"/>
      <c r="C1779" s="137"/>
      <c r="D1779" s="137"/>
      <c r="E1779" s="137"/>
      <c r="F1779" s="137"/>
      <c r="G1779" s="137"/>
      <c r="H1779" s="137"/>
      <c r="I1779" s="137"/>
      <c r="J1779" s="137"/>
      <c r="K1779" s="137"/>
      <c r="L1779" s="137"/>
      <c r="M1779" s="137"/>
      <c r="N1779" s="137"/>
      <c r="O1779" s="137"/>
      <c r="P1779" s="137"/>
      <c r="Q1779" s="137"/>
      <c r="R1779" s="137"/>
      <c r="S1779" s="137"/>
      <c r="T1779" s="137"/>
      <c r="U1779" s="137"/>
      <c r="V1779" s="137"/>
      <c r="W1779" s="137"/>
    </row>
    <row r="1780" spans="1:23" x14ac:dyDescent="0.25">
      <c r="A1780" s="137"/>
      <c r="B1780" s="137"/>
      <c r="C1780" s="137"/>
      <c r="D1780" s="137"/>
      <c r="E1780" s="137"/>
      <c r="F1780" s="137"/>
      <c r="G1780" s="137"/>
      <c r="H1780" s="137"/>
      <c r="I1780" s="137"/>
      <c r="J1780" s="137"/>
      <c r="K1780" s="137"/>
      <c r="L1780" s="137"/>
      <c r="M1780" s="137"/>
      <c r="N1780" s="137"/>
      <c r="O1780" s="137"/>
      <c r="P1780" s="137"/>
      <c r="Q1780" s="137"/>
      <c r="R1780" s="137"/>
      <c r="S1780" s="137"/>
      <c r="T1780" s="137"/>
      <c r="U1780" s="137"/>
      <c r="V1780" s="137"/>
      <c r="W1780" s="137"/>
    </row>
    <row r="1781" spans="1:23" x14ac:dyDescent="0.25">
      <c r="A1781" s="137"/>
      <c r="B1781" s="137"/>
      <c r="C1781" s="137"/>
      <c r="D1781" s="137"/>
      <c r="E1781" s="137"/>
      <c r="F1781" s="137"/>
      <c r="G1781" s="137"/>
      <c r="H1781" s="137"/>
      <c r="I1781" s="137"/>
      <c r="J1781" s="137"/>
      <c r="K1781" s="137"/>
      <c r="L1781" s="137"/>
      <c r="M1781" s="137"/>
      <c r="N1781" s="137"/>
      <c r="O1781" s="137"/>
      <c r="P1781" s="137"/>
      <c r="Q1781" s="137"/>
      <c r="R1781" s="137"/>
      <c r="S1781" s="137"/>
      <c r="T1781" s="137"/>
      <c r="U1781" s="137"/>
      <c r="V1781" s="137"/>
      <c r="W1781" s="137"/>
    </row>
    <row r="1782" spans="1:23" x14ac:dyDescent="0.25">
      <c r="A1782" s="137"/>
      <c r="B1782" s="137"/>
      <c r="C1782" s="137"/>
      <c r="D1782" s="137"/>
      <c r="E1782" s="137"/>
      <c r="F1782" s="137"/>
      <c r="G1782" s="137"/>
      <c r="H1782" s="137"/>
      <c r="I1782" s="137"/>
      <c r="J1782" s="137"/>
      <c r="K1782" s="137"/>
      <c r="L1782" s="137"/>
      <c r="M1782" s="137"/>
      <c r="N1782" s="137"/>
      <c r="O1782" s="137"/>
      <c r="P1782" s="137"/>
      <c r="Q1782" s="137"/>
      <c r="R1782" s="137"/>
      <c r="S1782" s="137"/>
      <c r="T1782" s="137"/>
      <c r="U1782" s="137"/>
      <c r="V1782" s="137"/>
      <c r="W1782" s="137"/>
    </row>
    <row r="1783" spans="1:23" x14ac:dyDescent="0.25">
      <c r="A1783" s="137"/>
      <c r="B1783" s="137"/>
      <c r="C1783" s="137"/>
      <c r="D1783" s="137"/>
      <c r="E1783" s="137"/>
      <c r="F1783" s="137"/>
      <c r="G1783" s="137"/>
      <c r="H1783" s="137"/>
      <c r="I1783" s="137"/>
      <c r="J1783" s="137"/>
      <c r="K1783" s="137"/>
      <c r="L1783" s="137"/>
      <c r="M1783" s="137"/>
      <c r="N1783" s="137"/>
      <c r="O1783" s="137"/>
      <c r="P1783" s="137"/>
      <c r="Q1783" s="137"/>
      <c r="R1783" s="137"/>
      <c r="S1783" s="137"/>
      <c r="T1783" s="137"/>
      <c r="U1783" s="137"/>
      <c r="V1783" s="137"/>
      <c r="W1783" s="137"/>
    </row>
    <row r="1784" spans="1:23" x14ac:dyDescent="0.25">
      <c r="A1784" s="137"/>
      <c r="B1784" s="137"/>
      <c r="C1784" s="137"/>
      <c r="D1784" s="137"/>
      <c r="E1784" s="137"/>
      <c r="F1784" s="137"/>
      <c r="G1784" s="137"/>
      <c r="H1784" s="137"/>
      <c r="I1784" s="137"/>
      <c r="J1784" s="137"/>
      <c r="K1784" s="137"/>
      <c r="L1784" s="137"/>
      <c r="M1784" s="137"/>
      <c r="N1784" s="137"/>
      <c r="O1784" s="137"/>
      <c r="P1784" s="137"/>
      <c r="Q1784" s="137"/>
      <c r="R1784" s="137"/>
      <c r="S1784" s="137"/>
      <c r="T1784" s="137"/>
      <c r="U1784" s="137"/>
      <c r="V1784" s="137"/>
      <c r="W1784" s="137"/>
    </row>
    <row r="1785" spans="1:23" x14ac:dyDescent="0.25">
      <c r="A1785" s="137"/>
      <c r="B1785" s="137"/>
      <c r="C1785" s="137"/>
      <c r="D1785" s="137"/>
      <c r="E1785" s="137"/>
      <c r="F1785" s="137"/>
      <c r="G1785" s="137"/>
      <c r="H1785" s="137"/>
      <c r="I1785" s="137"/>
      <c r="J1785" s="137"/>
      <c r="K1785" s="137"/>
      <c r="L1785" s="137"/>
      <c r="M1785" s="137"/>
      <c r="N1785" s="137"/>
      <c r="O1785" s="137"/>
      <c r="P1785" s="137"/>
      <c r="Q1785" s="137"/>
      <c r="R1785" s="137"/>
      <c r="S1785" s="137"/>
      <c r="T1785" s="137"/>
      <c r="U1785" s="137"/>
      <c r="V1785" s="137"/>
      <c r="W1785" s="137"/>
    </row>
    <row r="1786" spans="1:23" x14ac:dyDescent="0.25">
      <c r="A1786" s="137"/>
      <c r="B1786" s="137"/>
      <c r="C1786" s="137"/>
      <c r="D1786" s="137"/>
      <c r="E1786" s="137"/>
      <c r="F1786" s="137"/>
      <c r="G1786" s="137"/>
      <c r="H1786" s="137"/>
      <c r="I1786" s="137"/>
      <c r="J1786" s="137"/>
      <c r="K1786" s="137"/>
      <c r="L1786" s="137"/>
      <c r="M1786" s="137"/>
      <c r="N1786" s="137"/>
      <c r="O1786" s="137"/>
      <c r="P1786" s="137"/>
      <c r="Q1786" s="137"/>
      <c r="R1786" s="137"/>
      <c r="S1786" s="137"/>
      <c r="T1786" s="137"/>
      <c r="U1786" s="137"/>
      <c r="V1786" s="137"/>
      <c r="W1786" s="137"/>
    </row>
    <row r="1787" spans="1:23" x14ac:dyDescent="0.25">
      <c r="A1787" s="137"/>
      <c r="B1787" s="137"/>
      <c r="C1787" s="137"/>
      <c r="D1787" s="137"/>
      <c r="E1787" s="137"/>
      <c r="F1787" s="137"/>
      <c r="G1787" s="137"/>
      <c r="H1787" s="137"/>
      <c r="I1787" s="137"/>
      <c r="J1787" s="137"/>
      <c r="K1787" s="137"/>
      <c r="L1787" s="137"/>
      <c r="M1787" s="137"/>
      <c r="N1787" s="137"/>
      <c r="O1787" s="137"/>
      <c r="P1787" s="137"/>
      <c r="Q1787" s="137"/>
      <c r="R1787" s="137"/>
      <c r="S1787" s="137"/>
      <c r="T1787" s="137"/>
      <c r="U1787" s="137"/>
      <c r="V1787" s="137"/>
      <c r="W1787" s="137"/>
    </row>
    <row r="1788" spans="1:23" x14ac:dyDescent="0.25">
      <c r="A1788" s="137"/>
      <c r="B1788" s="137"/>
      <c r="C1788" s="137"/>
      <c r="D1788" s="137"/>
      <c r="E1788" s="137"/>
      <c r="F1788" s="137"/>
      <c r="G1788" s="137"/>
      <c r="H1788" s="137"/>
      <c r="I1788" s="137"/>
      <c r="J1788" s="137"/>
      <c r="K1788" s="137"/>
      <c r="L1788" s="137"/>
      <c r="M1788" s="137"/>
      <c r="N1788" s="137"/>
      <c r="O1788" s="137"/>
      <c r="P1788" s="137"/>
      <c r="Q1788" s="137"/>
      <c r="R1788" s="137"/>
      <c r="S1788" s="137"/>
      <c r="T1788" s="137"/>
      <c r="U1788" s="137"/>
      <c r="V1788" s="137"/>
      <c r="W1788" s="137"/>
    </row>
    <row r="1789" spans="1:23" x14ac:dyDescent="0.25">
      <c r="A1789" s="137"/>
      <c r="B1789" s="137"/>
      <c r="C1789" s="137"/>
      <c r="D1789" s="137"/>
      <c r="E1789" s="137"/>
      <c r="F1789" s="137"/>
      <c r="G1789" s="137"/>
      <c r="H1789" s="137"/>
      <c r="I1789" s="137"/>
      <c r="J1789" s="137"/>
      <c r="K1789" s="137"/>
      <c r="L1789" s="137"/>
      <c r="M1789" s="137"/>
      <c r="N1789" s="137"/>
      <c r="O1789" s="137"/>
      <c r="P1789" s="137"/>
      <c r="Q1789" s="137"/>
      <c r="R1789" s="137"/>
      <c r="S1789" s="137"/>
      <c r="T1789" s="137"/>
      <c r="U1789" s="137"/>
      <c r="V1789" s="137"/>
      <c r="W1789" s="137"/>
    </row>
    <row r="1790" spans="1:23" x14ac:dyDescent="0.25">
      <c r="A1790" s="137"/>
      <c r="B1790" s="137"/>
      <c r="C1790" s="137"/>
      <c r="D1790" s="137"/>
      <c r="E1790" s="137"/>
      <c r="F1790" s="137"/>
      <c r="G1790" s="137"/>
      <c r="H1790" s="137"/>
      <c r="I1790" s="137"/>
      <c r="J1790" s="137"/>
      <c r="K1790" s="137"/>
      <c r="L1790" s="137"/>
      <c r="M1790" s="137"/>
      <c r="N1790" s="137"/>
      <c r="O1790" s="137"/>
      <c r="P1790" s="137"/>
      <c r="Q1790" s="137"/>
      <c r="R1790" s="137"/>
      <c r="S1790" s="137"/>
      <c r="T1790" s="137"/>
      <c r="U1790" s="137"/>
      <c r="V1790" s="137"/>
      <c r="W1790" s="137"/>
    </row>
    <row r="1791" spans="1:23" x14ac:dyDescent="0.25">
      <c r="A1791" s="137"/>
      <c r="B1791" s="137"/>
      <c r="C1791" s="137"/>
      <c r="D1791" s="137"/>
      <c r="E1791" s="137"/>
      <c r="F1791" s="137"/>
      <c r="G1791" s="137"/>
      <c r="H1791" s="137"/>
      <c r="I1791" s="137"/>
      <c r="J1791" s="137"/>
      <c r="K1791" s="137"/>
      <c r="L1791" s="137"/>
      <c r="M1791" s="137"/>
      <c r="N1791" s="137"/>
      <c r="O1791" s="137"/>
      <c r="P1791" s="137"/>
      <c r="Q1791" s="137"/>
      <c r="R1791" s="137"/>
      <c r="S1791" s="137"/>
      <c r="T1791" s="137"/>
      <c r="U1791" s="137"/>
      <c r="V1791" s="137"/>
      <c r="W1791" s="137"/>
    </row>
    <row r="1792" spans="1:23" x14ac:dyDescent="0.25">
      <c r="A1792" s="137"/>
      <c r="B1792" s="137"/>
      <c r="C1792" s="137"/>
      <c r="D1792" s="137"/>
      <c r="E1792" s="137"/>
      <c r="F1792" s="137"/>
      <c r="G1792" s="137"/>
      <c r="H1792" s="137"/>
      <c r="I1792" s="137"/>
      <c r="J1792" s="137"/>
      <c r="K1792" s="137"/>
      <c r="L1792" s="137"/>
      <c r="M1792" s="137"/>
      <c r="N1792" s="137"/>
      <c r="O1792" s="137"/>
      <c r="P1792" s="137"/>
      <c r="Q1792" s="137"/>
      <c r="R1792" s="137"/>
      <c r="S1792" s="137"/>
      <c r="T1792" s="137"/>
      <c r="U1792" s="137"/>
      <c r="V1792" s="137"/>
      <c r="W1792" s="137"/>
    </row>
    <row r="1793" spans="1:23" x14ac:dyDescent="0.25">
      <c r="A1793" s="137"/>
      <c r="B1793" s="137"/>
      <c r="C1793" s="137"/>
      <c r="D1793" s="137"/>
      <c r="E1793" s="137"/>
      <c r="F1793" s="137"/>
      <c r="G1793" s="137"/>
      <c r="H1793" s="137"/>
      <c r="I1793" s="137"/>
      <c r="J1793" s="137"/>
      <c r="K1793" s="137"/>
      <c r="L1793" s="137"/>
      <c r="M1793" s="137"/>
      <c r="N1793" s="137"/>
      <c r="O1793" s="137"/>
      <c r="P1793" s="137"/>
      <c r="Q1793" s="137"/>
      <c r="R1793" s="137"/>
      <c r="S1793" s="137"/>
      <c r="T1793" s="137"/>
      <c r="U1793" s="137"/>
      <c r="V1793" s="137"/>
      <c r="W1793" s="137"/>
    </row>
    <row r="1794" spans="1:23" x14ac:dyDescent="0.25">
      <c r="A1794" s="137"/>
      <c r="B1794" s="137"/>
      <c r="C1794" s="137"/>
      <c r="D1794" s="137"/>
      <c r="E1794" s="137"/>
      <c r="F1794" s="137"/>
      <c r="G1794" s="137"/>
      <c r="H1794" s="137"/>
      <c r="I1794" s="137"/>
      <c r="J1794" s="137"/>
      <c r="K1794" s="137"/>
      <c r="L1794" s="137"/>
      <c r="M1794" s="137"/>
      <c r="N1794" s="137"/>
      <c r="O1794" s="137"/>
      <c r="P1794" s="137"/>
      <c r="Q1794" s="137"/>
      <c r="R1794" s="137"/>
      <c r="S1794" s="137"/>
      <c r="T1794" s="137"/>
      <c r="U1794" s="137"/>
      <c r="V1794" s="137"/>
      <c r="W1794" s="137"/>
    </row>
    <row r="1795" spans="1:23" x14ac:dyDescent="0.25">
      <c r="A1795" s="137"/>
      <c r="B1795" s="137"/>
      <c r="C1795" s="137"/>
      <c r="D1795" s="137"/>
      <c r="E1795" s="137"/>
      <c r="F1795" s="137"/>
      <c r="G1795" s="137"/>
      <c r="H1795" s="137"/>
      <c r="I1795" s="137"/>
      <c r="J1795" s="137"/>
      <c r="K1795" s="137"/>
      <c r="L1795" s="137"/>
      <c r="M1795" s="137"/>
      <c r="N1795" s="137"/>
      <c r="O1795" s="137"/>
      <c r="P1795" s="137"/>
      <c r="Q1795" s="137"/>
      <c r="R1795" s="137"/>
      <c r="S1795" s="137"/>
      <c r="T1795" s="137"/>
      <c r="U1795" s="137"/>
      <c r="V1795" s="137"/>
      <c r="W1795" s="137"/>
    </row>
    <row r="1796" spans="1:23" x14ac:dyDescent="0.25">
      <c r="A1796" s="137"/>
      <c r="B1796" s="137"/>
      <c r="C1796" s="137"/>
      <c r="D1796" s="137"/>
      <c r="E1796" s="137"/>
      <c r="F1796" s="137"/>
      <c r="G1796" s="137"/>
      <c r="H1796" s="137"/>
      <c r="I1796" s="137"/>
      <c r="J1796" s="137"/>
      <c r="K1796" s="137"/>
      <c r="L1796" s="137"/>
      <c r="M1796" s="137"/>
      <c r="N1796" s="137"/>
      <c r="O1796" s="137"/>
      <c r="P1796" s="137"/>
      <c r="Q1796" s="137"/>
      <c r="R1796" s="137"/>
      <c r="S1796" s="137"/>
      <c r="T1796" s="137"/>
      <c r="U1796" s="137"/>
      <c r="V1796" s="137"/>
      <c r="W1796" s="137"/>
    </row>
    <row r="1797" spans="1:23" x14ac:dyDescent="0.25">
      <c r="A1797" s="137"/>
      <c r="B1797" s="137"/>
      <c r="C1797" s="137"/>
      <c r="D1797" s="137"/>
      <c r="E1797" s="137"/>
      <c r="F1797" s="137"/>
      <c r="G1797" s="137"/>
      <c r="H1797" s="137"/>
      <c r="I1797" s="137"/>
      <c r="J1797" s="137"/>
      <c r="K1797" s="137"/>
      <c r="L1797" s="137"/>
      <c r="M1797" s="137"/>
      <c r="N1797" s="137"/>
      <c r="O1797" s="137"/>
      <c r="P1797" s="137"/>
      <c r="Q1797" s="137"/>
      <c r="R1797" s="137"/>
      <c r="S1797" s="137"/>
      <c r="T1797" s="137"/>
      <c r="U1797" s="137"/>
      <c r="V1797" s="137"/>
      <c r="W1797" s="137"/>
    </row>
    <row r="1798" spans="1:23" x14ac:dyDescent="0.25">
      <c r="A1798" s="137"/>
      <c r="B1798" s="137"/>
      <c r="C1798" s="137"/>
      <c r="D1798" s="137"/>
      <c r="E1798" s="137"/>
      <c r="F1798" s="137"/>
      <c r="G1798" s="137"/>
      <c r="H1798" s="137"/>
      <c r="I1798" s="137"/>
      <c r="J1798" s="137"/>
      <c r="K1798" s="137"/>
      <c r="L1798" s="137"/>
      <c r="M1798" s="137"/>
      <c r="N1798" s="137"/>
      <c r="O1798" s="137"/>
      <c r="P1798" s="137"/>
      <c r="Q1798" s="137"/>
      <c r="R1798" s="137"/>
      <c r="S1798" s="137"/>
      <c r="T1798" s="137"/>
      <c r="U1798" s="137"/>
      <c r="V1798" s="137"/>
      <c r="W1798" s="137"/>
    </row>
    <row r="1799" spans="1:23" x14ac:dyDescent="0.25">
      <c r="A1799" s="137"/>
      <c r="B1799" s="137"/>
      <c r="C1799" s="137"/>
      <c r="D1799" s="137"/>
      <c r="E1799" s="137"/>
      <c r="F1799" s="137"/>
      <c r="G1799" s="137"/>
      <c r="H1799" s="137"/>
      <c r="I1799" s="137"/>
      <c r="J1799" s="137"/>
      <c r="K1799" s="137"/>
      <c r="L1799" s="137"/>
      <c r="M1799" s="137"/>
      <c r="N1799" s="137"/>
      <c r="O1799" s="137"/>
      <c r="P1799" s="137"/>
      <c r="Q1799" s="137"/>
      <c r="R1799" s="137"/>
      <c r="S1799" s="137"/>
      <c r="T1799" s="137"/>
      <c r="U1799" s="137"/>
      <c r="V1799" s="137"/>
      <c r="W1799" s="137"/>
    </row>
    <row r="1800" spans="1:23" x14ac:dyDescent="0.25">
      <c r="A1800" s="137"/>
      <c r="B1800" s="137"/>
      <c r="C1800" s="137"/>
      <c r="D1800" s="137"/>
      <c r="E1800" s="137"/>
      <c r="F1800" s="137"/>
      <c r="G1800" s="137"/>
      <c r="H1800" s="137"/>
      <c r="I1800" s="137"/>
      <c r="J1800" s="137"/>
      <c r="K1800" s="137"/>
      <c r="L1800" s="137"/>
      <c r="M1800" s="137"/>
      <c r="N1800" s="137"/>
      <c r="O1800" s="137"/>
      <c r="P1800" s="137"/>
      <c r="Q1800" s="137"/>
      <c r="R1800" s="137"/>
      <c r="S1800" s="137"/>
      <c r="T1800" s="137"/>
      <c r="U1800" s="137"/>
      <c r="V1800" s="137"/>
      <c r="W1800" s="137"/>
    </row>
    <row r="1801" spans="1:23" x14ac:dyDescent="0.25">
      <c r="A1801" s="137"/>
      <c r="B1801" s="137"/>
      <c r="C1801" s="137"/>
      <c r="D1801" s="137"/>
      <c r="E1801" s="137"/>
      <c r="F1801" s="137"/>
      <c r="G1801" s="137"/>
      <c r="H1801" s="137"/>
      <c r="I1801" s="137"/>
      <c r="J1801" s="137"/>
      <c r="K1801" s="137"/>
      <c r="L1801" s="137"/>
      <c r="M1801" s="137"/>
      <c r="N1801" s="137"/>
      <c r="O1801" s="137"/>
      <c r="P1801" s="137"/>
      <c r="Q1801" s="137"/>
      <c r="R1801" s="137"/>
      <c r="S1801" s="137"/>
      <c r="T1801" s="137"/>
      <c r="U1801" s="137"/>
      <c r="V1801" s="137"/>
      <c r="W1801" s="137"/>
    </row>
    <row r="1802" spans="1:23" x14ac:dyDescent="0.25">
      <c r="A1802" s="137"/>
      <c r="B1802" s="137"/>
      <c r="C1802" s="137"/>
      <c r="D1802" s="137"/>
      <c r="E1802" s="137"/>
      <c r="F1802" s="137"/>
      <c r="G1802" s="137"/>
      <c r="H1802" s="137"/>
      <c r="I1802" s="137"/>
      <c r="J1802" s="137"/>
      <c r="K1802" s="137"/>
      <c r="L1802" s="137"/>
      <c r="M1802" s="137"/>
      <c r="N1802" s="137"/>
      <c r="O1802" s="137"/>
      <c r="P1802" s="137"/>
      <c r="Q1802" s="137"/>
      <c r="R1802" s="137"/>
      <c r="S1802" s="137"/>
      <c r="T1802" s="137"/>
      <c r="U1802" s="137"/>
      <c r="V1802" s="137"/>
      <c r="W1802" s="137"/>
    </row>
    <row r="1803" spans="1:23" x14ac:dyDescent="0.25">
      <c r="A1803" s="137"/>
      <c r="B1803" s="137"/>
      <c r="C1803" s="137"/>
      <c r="D1803" s="137"/>
      <c r="E1803" s="137"/>
      <c r="F1803" s="137"/>
      <c r="G1803" s="137"/>
      <c r="H1803" s="137"/>
      <c r="I1803" s="137"/>
      <c r="J1803" s="137"/>
      <c r="K1803" s="137"/>
      <c r="L1803" s="137"/>
      <c r="M1803" s="137"/>
      <c r="N1803" s="137"/>
      <c r="O1803" s="137"/>
      <c r="P1803" s="137"/>
      <c r="Q1803" s="137"/>
      <c r="R1803" s="137"/>
      <c r="S1803" s="137"/>
      <c r="T1803" s="137"/>
      <c r="U1803" s="137"/>
      <c r="V1803" s="137"/>
      <c r="W1803" s="137"/>
    </row>
    <row r="1804" spans="1:23" x14ac:dyDescent="0.25">
      <c r="A1804" s="137"/>
      <c r="B1804" s="137"/>
      <c r="C1804" s="137"/>
      <c r="D1804" s="137"/>
      <c r="E1804" s="137"/>
      <c r="F1804" s="137"/>
      <c r="G1804" s="137"/>
      <c r="H1804" s="137"/>
      <c r="I1804" s="137"/>
      <c r="J1804" s="137"/>
      <c r="K1804" s="137"/>
      <c r="L1804" s="137"/>
      <c r="M1804" s="137"/>
      <c r="N1804" s="137"/>
      <c r="O1804" s="137"/>
      <c r="P1804" s="137"/>
      <c r="Q1804" s="137"/>
      <c r="R1804" s="137"/>
      <c r="S1804" s="137"/>
      <c r="T1804" s="137"/>
      <c r="U1804" s="137"/>
      <c r="V1804" s="137"/>
      <c r="W1804" s="137"/>
    </row>
    <row r="1805" spans="1:23" x14ac:dyDescent="0.25">
      <c r="A1805" s="137"/>
      <c r="B1805" s="137"/>
      <c r="C1805" s="137"/>
      <c r="D1805" s="137"/>
      <c r="E1805" s="137"/>
      <c r="F1805" s="137"/>
      <c r="G1805" s="137"/>
      <c r="H1805" s="137"/>
      <c r="I1805" s="137"/>
      <c r="J1805" s="137"/>
      <c r="K1805" s="137"/>
      <c r="L1805" s="137"/>
      <c r="M1805" s="137"/>
      <c r="N1805" s="137"/>
      <c r="O1805" s="137"/>
      <c r="P1805" s="137"/>
      <c r="Q1805" s="137"/>
      <c r="R1805" s="137"/>
      <c r="S1805" s="137"/>
      <c r="T1805" s="137"/>
      <c r="U1805" s="137"/>
      <c r="V1805" s="137"/>
      <c r="W1805" s="137"/>
    </row>
    <row r="1806" spans="1:23" x14ac:dyDescent="0.25">
      <c r="A1806" s="137"/>
      <c r="B1806" s="137"/>
      <c r="C1806" s="137"/>
      <c r="D1806" s="137"/>
      <c r="E1806" s="137"/>
      <c r="F1806" s="137"/>
      <c r="G1806" s="137"/>
      <c r="H1806" s="137"/>
      <c r="I1806" s="137"/>
      <c r="J1806" s="137"/>
      <c r="K1806" s="137"/>
      <c r="L1806" s="137"/>
      <c r="M1806" s="137"/>
      <c r="N1806" s="137"/>
      <c r="O1806" s="137"/>
      <c r="P1806" s="137"/>
      <c r="Q1806" s="137"/>
      <c r="R1806" s="137"/>
      <c r="S1806" s="137"/>
      <c r="T1806" s="137"/>
      <c r="U1806" s="137"/>
      <c r="V1806" s="137"/>
      <c r="W1806" s="137"/>
    </row>
    <row r="1807" spans="1:23" x14ac:dyDescent="0.25">
      <c r="A1807" s="137"/>
      <c r="B1807" s="137"/>
      <c r="C1807" s="137"/>
      <c r="D1807" s="137"/>
      <c r="E1807" s="137"/>
      <c r="F1807" s="137"/>
      <c r="G1807" s="137"/>
      <c r="H1807" s="137"/>
      <c r="I1807" s="137"/>
      <c r="J1807" s="137"/>
      <c r="K1807" s="137"/>
      <c r="L1807" s="137"/>
      <c r="M1807" s="137"/>
      <c r="N1807" s="137"/>
      <c r="O1807" s="137"/>
      <c r="P1807" s="137"/>
      <c r="Q1807" s="137"/>
      <c r="R1807" s="137"/>
      <c r="S1807" s="137"/>
      <c r="T1807" s="137"/>
      <c r="U1807" s="137"/>
      <c r="V1807" s="137"/>
      <c r="W1807" s="137"/>
    </row>
    <row r="1808" spans="1:23" x14ac:dyDescent="0.25">
      <c r="A1808" s="137"/>
      <c r="B1808" s="137"/>
      <c r="C1808" s="137"/>
      <c r="D1808" s="137"/>
      <c r="E1808" s="137"/>
      <c r="F1808" s="137"/>
      <c r="G1808" s="137"/>
      <c r="H1808" s="137"/>
      <c r="I1808" s="137"/>
      <c r="J1808" s="137"/>
      <c r="K1808" s="137"/>
      <c r="L1808" s="137"/>
      <c r="M1808" s="137"/>
      <c r="N1808" s="137"/>
      <c r="O1808" s="137"/>
      <c r="P1808" s="137"/>
      <c r="Q1808" s="137"/>
      <c r="R1808" s="137"/>
      <c r="S1808" s="137"/>
      <c r="T1808" s="137"/>
      <c r="U1808" s="137"/>
      <c r="V1808" s="137"/>
      <c r="W1808" s="137"/>
    </row>
    <row r="1809" spans="1:23" x14ac:dyDescent="0.25">
      <c r="A1809" s="137"/>
      <c r="B1809" s="137"/>
      <c r="C1809" s="137"/>
      <c r="D1809" s="137"/>
      <c r="E1809" s="137"/>
      <c r="F1809" s="137"/>
      <c r="G1809" s="137"/>
      <c r="H1809" s="137"/>
      <c r="I1809" s="137"/>
      <c r="J1809" s="137"/>
      <c r="K1809" s="137"/>
      <c r="L1809" s="137"/>
      <c r="M1809" s="137"/>
      <c r="N1809" s="137"/>
      <c r="O1809" s="137"/>
      <c r="P1809" s="137"/>
      <c r="Q1809" s="137"/>
      <c r="R1809" s="137"/>
      <c r="S1809" s="137"/>
      <c r="T1809" s="137"/>
      <c r="U1809" s="137"/>
      <c r="V1809" s="137"/>
      <c r="W1809" s="137"/>
    </row>
    <row r="1810" spans="1:23" x14ac:dyDescent="0.25">
      <c r="A1810" s="137"/>
      <c r="B1810" s="137"/>
      <c r="C1810" s="137"/>
      <c r="D1810" s="137"/>
      <c r="E1810" s="137"/>
      <c r="F1810" s="137"/>
      <c r="G1810" s="137"/>
      <c r="H1810" s="137"/>
      <c r="I1810" s="137"/>
      <c r="J1810" s="137"/>
      <c r="K1810" s="137"/>
      <c r="L1810" s="137"/>
      <c r="M1810" s="137"/>
      <c r="N1810" s="137"/>
      <c r="O1810" s="137"/>
      <c r="P1810" s="137"/>
      <c r="Q1810" s="137"/>
      <c r="R1810" s="137"/>
      <c r="S1810" s="137"/>
      <c r="T1810" s="137"/>
      <c r="U1810" s="137"/>
      <c r="V1810" s="137"/>
      <c r="W1810" s="137"/>
    </row>
    <row r="1811" spans="1:23" x14ac:dyDescent="0.25">
      <c r="A1811" s="137"/>
      <c r="B1811" s="137"/>
      <c r="C1811" s="137"/>
      <c r="D1811" s="137"/>
      <c r="E1811" s="137"/>
      <c r="F1811" s="137"/>
      <c r="G1811" s="137"/>
      <c r="H1811" s="137"/>
      <c r="I1811" s="137"/>
      <c r="J1811" s="137"/>
      <c r="K1811" s="137"/>
      <c r="L1811" s="137"/>
      <c r="M1811" s="137"/>
      <c r="N1811" s="137"/>
      <c r="O1811" s="137"/>
      <c r="P1811" s="137"/>
      <c r="Q1811" s="137"/>
      <c r="R1811" s="137"/>
      <c r="S1811" s="137"/>
      <c r="T1811" s="137"/>
      <c r="U1811" s="137"/>
      <c r="V1811" s="137"/>
      <c r="W1811" s="137"/>
    </row>
    <row r="1812" spans="1:23" x14ac:dyDescent="0.25">
      <c r="A1812" s="137"/>
      <c r="B1812" s="137"/>
      <c r="C1812" s="137"/>
      <c r="D1812" s="137"/>
      <c r="E1812" s="137"/>
      <c r="F1812" s="137"/>
      <c r="G1812" s="137"/>
      <c r="H1812" s="137"/>
      <c r="I1812" s="137"/>
      <c r="J1812" s="137"/>
      <c r="K1812" s="137"/>
      <c r="L1812" s="137"/>
      <c r="M1812" s="137"/>
      <c r="N1812" s="137"/>
      <c r="O1812" s="137"/>
      <c r="P1812" s="137"/>
      <c r="Q1812" s="137"/>
      <c r="R1812" s="137"/>
      <c r="S1812" s="137"/>
      <c r="T1812" s="137"/>
      <c r="U1812" s="137"/>
      <c r="V1812" s="137"/>
      <c r="W1812" s="137"/>
    </row>
    <row r="1813" spans="1:23" x14ac:dyDescent="0.25">
      <c r="A1813" s="137"/>
      <c r="B1813" s="137"/>
      <c r="C1813" s="137"/>
      <c r="D1813" s="137"/>
      <c r="E1813" s="137"/>
      <c r="F1813" s="137"/>
      <c r="G1813" s="137"/>
      <c r="H1813" s="137"/>
      <c r="I1813" s="137"/>
      <c r="J1813" s="137"/>
      <c r="K1813" s="137"/>
      <c r="L1813" s="137"/>
      <c r="M1813" s="137"/>
      <c r="N1813" s="137"/>
      <c r="O1813" s="137"/>
      <c r="P1813" s="137"/>
      <c r="Q1813" s="137"/>
      <c r="R1813" s="137"/>
      <c r="S1813" s="137"/>
      <c r="T1813" s="137"/>
      <c r="U1813" s="137"/>
      <c r="V1813" s="137"/>
      <c r="W1813" s="137"/>
    </row>
    <row r="1814" spans="1:23" x14ac:dyDescent="0.25">
      <c r="A1814" s="137"/>
      <c r="B1814" s="137"/>
      <c r="C1814" s="137"/>
      <c r="D1814" s="137"/>
      <c r="E1814" s="137"/>
      <c r="F1814" s="137"/>
      <c r="G1814" s="137"/>
      <c r="H1814" s="137"/>
      <c r="I1814" s="137"/>
      <c r="J1814" s="137"/>
      <c r="K1814" s="137"/>
      <c r="L1814" s="137"/>
      <c r="M1814" s="137"/>
      <c r="N1814" s="137"/>
      <c r="O1814" s="137"/>
      <c r="P1814" s="137"/>
      <c r="Q1814" s="137"/>
      <c r="R1814" s="137"/>
      <c r="S1814" s="137"/>
      <c r="T1814" s="137"/>
      <c r="U1814" s="137"/>
      <c r="V1814" s="137"/>
      <c r="W1814" s="137"/>
    </row>
    <row r="1815" spans="1:23" x14ac:dyDescent="0.25">
      <c r="A1815" s="137"/>
      <c r="B1815" s="137"/>
      <c r="C1815" s="137"/>
      <c r="D1815" s="137"/>
      <c r="E1815" s="137"/>
      <c r="F1815" s="137"/>
      <c r="G1815" s="137"/>
      <c r="H1815" s="137"/>
      <c r="I1815" s="137"/>
      <c r="J1815" s="137"/>
      <c r="K1815" s="137"/>
      <c r="L1815" s="137"/>
      <c r="M1815" s="137"/>
      <c r="N1815" s="137"/>
      <c r="O1815" s="137"/>
      <c r="P1815" s="137"/>
      <c r="Q1815" s="137"/>
      <c r="R1815" s="137"/>
      <c r="S1815" s="137"/>
      <c r="T1815" s="137"/>
      <c r="U1815" s="137"/>
      <c r="V1815" s="137"/>
      <c r="W1815" s="137"/>
    </row>
    <row r="1816" spans="1:23" x14ac:dyDescent="0.25">
      <c r="A1816" s="137"/>
      <c r="B1816" s="137"/>
      <c r="C1816" s="137"/>
      <c r="D1816" s="137"/>
      <c r="E1816" s="137"/>
      <c r="F1816" s="137"/>
      <c r="G1816" s="137"/>
      <c r="H1816" s="137"/>
      <c r="I1816" s="137"/>
      <c r="J1816" s="137"/>
      <c r="K1816" s="137"/>
      <c r="L1816" s="137"/>
      <c r="M1816" s="137"/>
      <c r="N1816" s="137"/>
      <c r="O1816" s="137"/>
      <c r="P1816" s="137"/>
      <c r="Q1816" s="137"/>
      <c r="R1816" s="137"/>
      <c r="S1816" s="137"/>
      <c r="T1816" s="137"/>
      <c r="U1816" s="137"/>
      <c r="V1816" s="137"/>
      <c r="W1816" s="137"/>
    </row>
    <row r="1817" spans="1:23" x14ac:dyDescent="0.25">
      <c r="A1817" s="137"/>
      <c r="B1817" s="137"/>
      <c r="C1817" s="137"/>
      <c r="D1817" s="137"/>
      <c r="E1817" s="137"/>
      <c r="F1817" s="137"/>
      <c r="G1817" s="137"/>
      <c r="H1817" s="137"/>
      <c r="I1817" s="137"/>
      <c r="J1817" s="137"/>
      <c r="K1817" s="137"/>
      <c r="L1817" s="137"/>
      <c r="M1817" s="137"/>
      <c r="N1817" s="137"/>
      <c r="O1817" s="137"/>
      <c r="P1817" s="137"/>
      <c r="Q1817" s="137"/>
      <c r="R1817" s="137"/>
      <c r="S1817" s="137"/>
      <c r="T1817" s="137"/>
      <c r="U1817" s="137"/>
      <c r="V1817" s="137"/>
      <c r="W1817" s="137"/>
    </row>
    <row r="1818" spans="1:23" x14ac:dyDescent="0.25">
      <c r="A1818" s="137"/>
      <c r="B1818" s="137"/>
      <c r="C1818" s="137"/>
      <c r="D1818" s="137"/>
      <c r="E1818" s="137"/>
      <c r="F1818" s="137"/>
      <c r="G1818" s="137"/>
      <c r="H1818" s="137"/>
      <c r="I1818" s="137"/>
      <c r="J1818" s="137"/>
      <c r="K1818" s="137"/>
      <c r="L1818" s="137"/>
      <c r="M1818" s="137"/>
      <c r="N1818" s="137"/>
      <c r="O1818" s="137"/>
      <c r="P1818" s="137"/>
      <c r="Q1818" s="137"/>
      <c r="R1818" s="137"/>
      <c r="S1818" s="137"/>
      <c r="T1818" s="137"/>
      <c r="U1818" s="137"/>
      <c r="V1818" s="137"/>
      <c r="W1818" s="137"/>
    </row>
    <row r="1819" spans="1:23" x14ac:dyDescent="0.25">
      <c r="A1819" s="137"/>
      <c r="B1819" s="137"/>
      <c r="C1819" s="137"/>
      <c r="D1819" s="137"/>
      <c r="E1819" s="137"/>
      <c r="F1819" s="137"/>
      <c r="G1819" s="137"/>
      <c r="H1819" s="137"/>
      <c r="I1819" s="137"/>
      <c r="J1819" s="137"/>
      <c r="K1819" s="137"/>
      <c r="L1819" s="137"/>
      <c r="M1819" s="137"/>
      <c r="N1819" s="137"/>
      <c r="O1819" s="137"/>
      <c r="P1819" s="137"/>
      <c r="Q1819" s="137"/>
      <c r="R1819" s="137"/>
      <c r="S1819" s="137"/>
      <c r="T1819" s="137"/>
      <c r="U1819" s="137"/>
      <c r="V1819" s="137"/>
      <c r="W1819" s="137"/>
    </row>
    <row r="1820" spans="1:23" x14ac:dyDescent="0.25">
      <c r="A1820" s="137"/>
      <c r="B1820" s="137"/>
      <c r="C1820" s="137"/>
      <c r="D1820" s="137"/>
      <c r="E1820" s="137"/>
      <c r="F1820" s="137"/>
      <c r="G1820" s="137"/>
      <c r="H1820" s="137"/>
      <c r="I1820" s="137"/>
      <c r="J1820" s="137"/>
      <c r="K1820" s="137"/>
      <c r="L1820" s="137"/>
      <c r="M1820" s="137"/>
      <c r="N1820" s="137"/>
      <c r="O1820" s="137"/>
      <c r="P1820" s="137"/>
      <c r="Q1820" s="137"/>
      <c r="R1820" s="137"/>
      <c r="S1820" s="137"/>
      <c r="T1820" s="137"/>
      <c r="U1820" s="137"/>
      <c r="V1820" s="137"/>
      <c r="W1820" s="137"/>
    </row>
    <row r="1821" spans="1:23" x14ac:dyDescent="0.25">
      <c r="A1821" s="137"/>
      <c r="B1821" s="137"/>
      <c r="C1821" s="137"/>
      <c r="D1821" s="137"/>
      <c r="E1821" s="137"/>
      <c r="F1821" s="137"/>
      <c r="G1821" s="137"/>
      <c r="H1821" s="137"/>
      <c r="I1821" s="137"/>
      <c r="J1821" s="137"/>
      <c r="K1821" s="137"/>
      <c r="L1821" s="137"/>
      <c r="M1821" s="137"/>
      <c r="N1821" s="137"/>
      <c r="O1821" s="137"/>
      <c r="P1821" s="137"/>
      <c r="Q1821" s="137"/>
      <c r="R1821" s="137"/>
      <c r="S1821" s="137"/>
      <c r="T1821" s="137"/>
      <c r="U1821" s="137"/>
      <c r="V1821" s="137"/>
      <c r="W1821" s="137"/>
    </row>
    <row r="1822" spans="1:23" x14ac:dyDescent="0.25">
      <c r="A1822" s="137"/>
      <c r="B1822" s="137"/>
      <c r="C1822" s="137"/>
      <c r="D1822" s="137"/>
      <c r="E1822" s="137"/>
      <c r="F1822" s="137"/>
      <c r="G1822" s="137"/>
      <c r="H1822" s="137"/>
      <c r="I1822" s="137"/>
      <c r="J1822" s="137"/>
      <c r="K1822" s="137"/>
      <c r="L1822" s="137"/>
      <c r="M1822" s="137"/>
      <c r="N1822" s="137"/>
      <c r="O1822" s="137"/>
      <c r="P1822" s="137"/>
      <c r="Q1822" s="137"/>
      <c r="R1822" s="137"/>
      <c r="S1822" s="137"/>
      <c r="T1822" s="137"/>
      <c r="U1822" s="137"/>
      <c r="V1822" s="137"/>
      <c r="W1822" s="137"/>
    </row>
    <row r="1823" spans="1:23" x14ac:dyDescent="0.25">
      <c r="A1823" s="137"/>
      <c r="B1823" s="137"/>
      <c r="C1823" s="137"/>
      <c r="D1823" s="137"/>
      <c r="E1823" s="137"/>
      <c r="F1823" s="137"/>
      <c r="G1823" s="137"/>
      <c r="H1823" s="137"/>
      <c r="I1823" s="137"/>
      <c r="J1823" s="137"/>
      <c r="K1823" s="137"/>
      <c r="L1823" s="137"/>
      <c r="M1823" s="137"/>
      <c r="N1823" s="137"/>
      <c r="O1823" s="137"/>
      <c r="P1823" s="137"/>
      <c r="Q1823" s="137"/>
      <c r="R1823" s="137"/>
      <c r="S1823" s="137"/>
      <c r="T1823" s="137"/>
      <c r="U1823" s="137"/>
      <c r="V1823" s="137"/>
      <c r="W1823" s="137"/>
    </row>
    <row r="1824" spans="1:23" x14ac:dyDescent="0.25">
      <c r="A1824" s="137"/>
      <c r="B1824" s="137"/>
      <c r="C1824" s="137"/>
      <c r="D1824" s="137"/>
      <c r="E1824" s="137"/>
      <c r="F1824" s="137"/>
      <c r="G1824" s="137"/>
      <c r="H1824" s="137"/>
      <c r="I1824" s="137"/>
      <c r="J1824" s="137"/>
      <c r="K1824" s="137"/>
      <c r="L1824" s="137"/>
      <c r="M1824" s="137"/>
      <c r="N1824" s="137"/>
      <c r="O1824" s="137"/>
      <c r="P1824" s="137"/>
      <c r="Q1824" s="137"/>
      <c r="R1824" s="137"/>
      <c r="S1824" s="137"/>
      <c r="T1824" s="137"/>
      <c r="U1824" s="137"/>
      <c r="V1824" s="137"/>
      <c r="W1824" s="137"/>
    </row>
    <row r="1825" spans="1:23" x14ac:dyDescent="0.25">
      <c r="A1825" s="137"/>
      <c r="B1825" s="137"/>
      <c r="C1825" s="137"/>
      <c r="D1825" s="137"/>
      <c r="E1825" s="137"/>
      <c r="F1825" s="137"/>
      <c r="G1825" s="137"/>
      <c r="H1825" s="137"/>
      <c r="I1825" s="137"/>
      <c r="J1825" s="137"/>
      <c r="K1825" s="137"/>
      <c r="L1825" s="137"/>
      <c r="M1825" s="137"/>
      <c r="N1825" s="137"/>
      <c r="O1825" s="137"/>
      <c r="P1825" s="137"/>
      <c r="Q1825" s="137"/>
      <c r="R1825" s="137"/>
      <c r="S1825" s="137"/>
      <c r="T1825" s="137"/>
      <c r="U1825" s="137"/>
      <c r="V1825" s="137"/>
      <c r="W1825" s="137"/>
    </row>
    <row r="1826" spans="1:23" x14ac:dyDescent="0.25">
      <c r="A1826" s="137"/>
      <c r="B1826" s="137"/>
      <c r="C1826" s="137"/>
      <c r="D1826" s="137"/>
      <c r="E1826" s="137"/>
      <c r="F1826" s="137"/>
      <c r="G1826" s="137"/>
      <c r="H1826" s="137"/>
      <c r="I1826" s="137"/>
      <c r="J1826" s="137"/>
      <c r="K1826" s="137"/>
      <c r="L1826" s="137"/>
      <c r="M1826" s="137"/>
      <c r="N1826" s="137"/>
      <c r="O1826" s="137"/>
      <c r="P1826" s="137"/>
      <c r="Q1826" s="137"/>
      <c r="R1826" s="137"/>
      <c r="S1826" s="137"/>
      <c r="T1826" s="137"/>
      <c r="U1826" s="137"/>
      <c r="V1826" s="137"/>
      <c r="W1826" s="137"/>
    </row>
    <row r="1827" spans="1:23" x14ac:dyDescent="0.25">
      <c r="A1827" s="137"/>
      <c r="B1827" s="137"/>
      <c r="C1827" s="137"/>
      <c r="D1827" s="137"/>
      <c r="E1827" s="137"/>
      <c r="F1827" s="137"/>
      <c r="G1827" s="137"/>
      <c r="H1827" s="137"/>
      <c r="I1827" s="137"/>
      <c r="J1827" s="137"/>
      <c r="K1827" s="137"/>
      <c r="L1827" s="137"/>
      <c r="M1827" s="137"/>
      <c r="N1827" s="137"/>
      <c r="O1827" s="137"/>
      <c r="P1827" s="137"/>
      <c r="Q1827" s="137"/>
      <c r="R1827" s="137"/>
      <c r="S1827" s="137"/>
      <c r="T1827" s="137"/>
      <c r="U1827" s="137"/>
      <c r="V1827" s="137"/>
      <c r="W1827" s="137"/>
    </row>
    <row r="1828" spans="1:23" x14ac:dyDescent="0.25">
      <c r="A1828" s="137"/>
      <c r="B1828" s="137"/>
      <c r="C1828" s="137"/>
      <c r="D1828" s="137"/>
      <c r="E1828" s="137"/>
      <c r="F1828" s="137"/>
      <c r="G1828" s="137"/>
      <c r="H1828" s="137"/>
      <c r="I1828" s="137"/>
      <c r="J1828" s="137"/>
      <c r="K1828" s="137"/>
      <c r="L1828" s="137"/>
      <c r="M1828" s="137"/>
      <c r="N1828" s="137"/>
      <c r="O1828" s="137"/>
      <c r="P1828" s="137"/>
      <c r="Q1828" s="137"/>
      <c r="R1828" s="137"/>
      <c r="S1828" s="137"/>
      <c r="T1828" s="137"/>
      <c r="U1828" s="137"/>
      <c r="V1828" s="137"/>
      <c r="W1828" s="137"/>
    </row>
    <row r="1829" spans="1:23" x14ac:dyDescent="0.25">
      <c r="A1829" s="137"/>
      <c r="B1829" s="137"/>
      <c r="C1829" s="137"/>
      <c r="D1829" s="137"/>
      <c r="E1829" s="137"/>
      <c r="F1829" s="137"/>
      <c r="G1829" s="137"/>
      <c r="H1829" s="137"/>
      <c r="I1829" s="137"/>
      <c r="J1829" s="137"/>
      <c r="K1829" s="137"/>
      <c r="L1829" s="137"/>
      <c r="M1829" s="137"/>
      <c r="N1829" s="137"/>
      <c r="O1829" s="137"/>
      <c r="P1829" s="137"/>
      <c r="Q1829" s="137"/>
      <c r="R1829" s="137"/>
      <c r="S1829" s="137"/>
      <c r="T1829" s="137"/>
      <c r="U1829" s="137"/>
      <c r="V1829" s="137"/>
      <c r="W1829" s="137"/>
    </row>
    <row r="1830" spans="1:23" x14ac:dyDescent="0.25">
      <c r="A1830" s="137"/>
      <c r="B1830" s="137"/>
      <c r="C1830" s="137"/>
      <c r="D1830" s="137"/>
      <c r="E1830" s="137"/>
      <c r="F1830" s="137"/>
      <c r="G1830" s="137"/>
      <c r="H1830" s="137"/>
      <c r="I1830" s="137"/>
      <c r="J1830" s="137"/>
      <c r="K1830" s="137"/>
      <c r="L1830" s="137"/>
      <c r="M1830" s="137"/>
      <c r="N1830" s="137"/>
      <c r="O1830" s="137"/>
      <c r="P1830" s="137"/>
      <c r="Q1830" s="137"/>
      <c r="R1830" s="137"/>
      <c r="S1830" s="137"/>
      <c r="T1830" s="137"/>
      <c r="U1830" s="137"/>
      <c r="V1830" s="137"/>
      <c r="W1830" s="137"/>
    </row>
    <row r="1831" spans="1:23" x14ac:dyDescent="0.25">
      <c r="A1831" s="137"/>
      <c r="B1831" s="137"/>
      <c r="C1831" s="137"/>
      <c r="D1831" s="137"/>
      <c r="E1831" s="137"/>
      <c r="F1831" s="137"/>
      <c r="G1831" s="137"/>
      <c r="H1831" s="137"/>
      <c r="I1831" s="137"/>
      <c r="J1831" s="137"/>
      <c r="K1831" s="137"/>
      <c r="L1831" s="137"/>
      <c r="M1831" s="137"/>
      <c r="N1831" s="137"/>
      <c r="O1831" s="137"/>
      <c r="P1831" s="137"/>
      <c r="Q1831" s="137"/>
      <c r="R1831" s="137"/>
      <c r="S1831" s="137"/>
      <c r="T1831" s="137"/>
      <c r="U1831" s="137"/>
      <c r="V1831" s="137"/>
      <c r="W1831" s="137"/>
    </row>
    <row r="1832" spans="1:23" x14ac:dyDescent="0.25">
      <c r="A1832" s="137"/>
      <c r="B1832" s="137"/>
      <c r="C1832" s="137"/>
      <c r="D1832" s="137"/>
      <c r="E1832" s="137"/>
      <c r="F1832" s="137"/>
      <c r="G1832" s="137"/>
      <c r="H1832" s="137"/>
      <c r="I1832" s="137"/>
      <c r="J1832" s="137"/>
      <c r="K1832" s="137"/>
      <c r="L1832" s="137"/>
      <c r="M1832" s="137"/>
      <c r="N1832" s="137"/>
      <c r="O1832" s="137"/>
      <c r="P1832" s="137"/>
      <c r="Q1832" s="137"/>
      <c r="R1832" s="137"/>
      <c r="S1832" s="137"/>
      <c r="T1832" s="137"/>
      <c r="U1832" s="137"/>
      <c r="V1832" s="137"/>
      <c r="W1832" s="137"/>
    </row>
    <row r="1833" spans="1:23" x14ac:dyDescent="0.25">
      <c r="A1833" s="137"/>
      <c r="B1833" s="137"/>
      <c r="C1833" s="137"/>
      <c r="D1833" s="137"/>
      <c r="E1833" s="137"/>
      <c r="F1833" s="137"/>
      <c r="G1833" s="137"/>
      <c r="H1833" s="137"/>
      <c r="I1833" s="137"/>
      <c r="J1833" s="137"/>
      <c r="K1833" s="137"/>
      <c r="L1833" s="137"/>
      <c r="M1833" s="137"/>
      <c r="N1833" s="137"/>
      <c r="O1833" s="137"/>
      <c r="P1833" s="137"/>
      <c r="Q1833" s="137"/>
      <c r="R1833" s="137"/>
      <c r="S1833" s="137"/>
      <c r="T1833" s="137"/>
      <c r="U1833" s="137"/>
      <c r="V1833" s="137"/>
      <c r="W1833" s="137"/>
    </row>
    <row r="1834" spans="1:23" x14ac:dyDescent="0.25">
      <c r="A1834" s="137"/>
      <c r="B1834" s="137"/>
      <c r="C1834" s="137"/>
      <c r="D1834" s="137"/>
      <c r="E1834" s="137"/>
      <c r="F1834" s="137"/>
      <c r="G1834" s="137"/>
      <c r="H1834" s="137"/>
      <c r="I1834" s="137"/>
      <c r="J1834" s="137"/>
      <c r="K1834" s="137"/>
      <c r="L1834" s="137"/>
      <c r="M1834" s="137"/>
      <c r="N1834" s="137"/>
      <c r="O1834" s="137"/>
      <c r="P1834" s="137"/>
      <c r="Q1834" s="137"/>
      <c r="R1834" s="137"/>
      <c r="S1834" s="137"/>
      <c r="T1834" s="137"/>
      <c r="U1834" s="137"/>
      <c r="V1834" s="137"/>
      <c r="W1834" s="137"/>
    </row>
    <row r="1835" spans="1:23" x14ac:dyDescent="0.25">
      <c r="A1835" s="137"/>
      <c r="B1835" s="137"/>
      <c r="C1835" s="137"/>
      <c r="D1835" s="137"/>
      <c r="E1835" s="137"/>
      <c r="F1835" s="137"/>
      <c r="G1835" s="137"/>
      <c r="H1835" s="137"/>
      <c r="I1835" s="137"/>
      <c r="J1835" s="137"/>
      <c r="K1835" s="137"/>
      <c r="L1835" s="137"/>
      <c r="M1835" s="137"/>
      <c r="N1835" s="137"/>
      <c r="O1835" s="137"/>
      <c r="P1835" s="137"/>
      <c r="Q1835" s="137"/>
      <c r="R1835" s="137"/>
      <c r="S1835" s="137"/>
      <c r="T1835" s="137"/>
      <c r="U1835" s="137"/>
      <c r="V1835" s="137"/>
      <c r="W1835" s="137"/>
    </row>
    <row r="1836" spans="1:23" x14ac:dyDescent="0.25">
      <c r="A1836" s="137"/>
      <c r="B1836" s="137"/>
      <c r="C1836" s="137"/>
      <c r="D1836" s="137"/>
      <c r="E1836" s="137"/>
      <c r="F1836" s="137"/>
      <c r="G1836" s="137"/>
      <c r="H1836" s="137"/>
      <c r="I1836" s="137"/>
      <c r="J1836" s="137"/>
      <c r="K1836" s="137"/>
      <c r="L1836" s="137"/>
      <c r="M1836" s="137"/>
      <c r="N1836" s="137"/>
      <c r="O1836" s="137"/>
      <c r="P1836" s="137"/>
      <c r="Q1836" s="137"/>
      <c r="R1836" s="137"/>
      <c r="S1836" s="137"/>
      <c r="T1836" s="137"/>
      <c r="U1836" s="137"/>
      <c r="V1836" s="137"/>
      <c r="W1836" s="137"/>
    </row>
    <row r="1837" spans="1:23" x14ac:dyDescent="0.25">
      <c r="A1837" s="137"/>
      <c r="B1837" s="137"/>
      <c r="C1837" s="137"/>
      <c r="D1837" s="137"/>
      <c r="E1837" s="137"/>
      <c r="F1837" s="137"/>
      <c r="G1837" s="137"/>
      <c r="H1837" s="137"/>
      <c r="I1837" s="137"/>
      <c r="J1837" s="137"/>
      <c r="K1837" s="137"/>
      <c r="L1837" s="137"/>
      <c r="M1837" s="137"/>
      <c r="N1837" s="137"/>
      <c r="O1837" s="137"/>
      <c r="P1837" s="137"/>
      <c r="Q1837" s="137"/>
      <c r="R1837" s="137"/>
      <c r="S1837" s="137"/>
      <c r="T1837" s="137"/>
      <c r="U1837" s="137"/>
      <c r="V1837" s="137"/>
      <c r="W1837" s="137"/>
    </row>
    <row r="1838" spans="1:23" x14ac:dyDescent="0.25">
      <c r="A1838" s="137"/>
      <c r="B1838" s="137"/>
      <c r="C1838" s="137"/>
      <c r="D1838" s="137"/>
      <c r="E1838" s="137"/>
      <c r="F1838" s="137"/>
      <c r="G1838" s="137"/>
      <c r="H1838" s="137"/>
      <c r="I1838" s="137"/>
      <c r="J1838" s="137"/>
      <c r="K1838" s="137"/>
      <c r="L1838" s="137"/>
      <c r="M1838" s="137"/>
      <c r="N1838" s="137"/>
      <c r="O1838" s="137"/>
      <c r="P1838" s="137"/>
      <c r="Q1838" s="137"/>
      <c r="R1838" s="137"/>
      <c r="S1838" s="137"/>
      <c r="T1838" s="137"/>
      <c r="U1838" s="137"/>
      <c r="V1838" s="137"/>
      <c r="W1838" s="137"/>
    </row>
    <row r="1839" spans="1:23" x14ac:dyDescent="0.25">
      <c r="A1839" s="137"/>
      <c r="B1839" s="137"/>
      <c r="C1839" s="137"/>
      <c r="D1839" s="137"/>
      <c r="E1839" s="137"/>
      <c r="F1839" s="137"/>
      <c r="G1839" s="137"/>
      <c r="H1839" s="137"/>
      <c r="I1839" s="137"/>
      <c r="J1839" s="137"/>
      <c r="K1839" s="137"/>
      <c r="L1839" s="137"/>
      <c r="M1839" s="137"/>
      <c r="N1839" s="137"/>
      <c r="O1839" s="137"/>
      <c r="P1839" s="137"/>
      <c r="Q1839" s="137"/>
      <c r="R1839" s="137"/>
      <c r="S1839" s="137"/>
      <c r="T1839" s="137"/>
      <c r="U1839" s="137"/>
      <c r="V1839" s="137"/>
      <c r="W1839" s="137"/>
    </row>
    <row r="1840" spans="1:23" x14ac:dyDescent="0.25">
      <c r="A1840" s="137"/>
      <c r="B1840" s="137"/>
      <c r="C1840" s="137"/>
      <c r="D1840" s="137"/>
      <c r="E1840" s="137"/>
      <c r="F1840" s="137"/>
      <c r="G1840" s="137"/>
      <c r="H1840" s="137"/>
      <c r="I1840" s="137"/>
      <c r="J1840" s="137"/>
      <c r="K1840" s="137"/>
      <c r="L1840" s="137"/>
      <c r="M1840" s="137"/>
      <c r="N1840" s="137"/>
      <c r="O1840" s="137"/>
      <c r="P1840" s="137"/>
      <c r="Q1840" s="137"/>
      <c r="R1840" s="137"/>
      <c r="S1840" s="137"/>
      <c r="T1840" s="137"/>
      <c r="U1840" s="137"/>
      <c r="V1840" s="137"/>
      <c r="W1840" s="137"/>
    </row>
    <row r="1841" spans="1:23" x14ac:dyDescent="0.25">
      <c r="A1841" s="137"/>
      <c r="B1841" s="137"/>
      <c r="C1841" s="137"/>
      <c r="D1841" s="137"/>
      <c r="E1841" s="137"/>
      <c r="F1841" s="137"/>
      <c r="G1841" s="137"/>
      <c r="H1841" s="137"/>
      <c r="I1841" s="137"/>
      <c r="J1841" s="137"/>
      <c r="K1841" s="137"/>
      <c r="L1841" s="137"/>
      <c r="M1841" s="137"/>
      <c r="N1841" s="137"/>
      <c r="O1841" s="137"/>
      <c r="P1841" s="137"/>
      <c r="Q1841" s="137"/>
      <c r="R1841" s="137"/>
      <c r="S1841" s="137"/>
      <c r="T1841" s="137"/>
      <c r="U1841" s="137"/>
      <c r="V1841" s="137"/>
      <c r="W1841" s="137"/>
    </row>
    <row r="1842" spans="1:23" x14ac:dyDescent="0.25">
      <c r="A1842" s="137"/>
      <c r="B1842" s="137"/>
      <c r="C1842" s="137"/>
      <c r="D1842" s="137"/>
      <c r="E1842" s="137"/>
      <c r="F1842" s="137"/>
      <c r="G1842" s="137"/>
      <c r="H1842" s="137"/>
      <c r="I1842" s="137"/>
      <c r="J1842" s="137"/>
      <c r="K1842" s="137"/>
      <c r="L1842" s="137"/>
      <c r="M1842" s="137"/>
      <c r="N1842" s="137"/>
      <c r="O1842" s="137"/>
      <c r="P1842" s="137"/>
      <c r="Q1842" s="137"/>
      <c r="R1842" s="137"/>
      <c r="S1842" s="137"/>
      <c r="T1842" s="137"/>
      <c r="U1842" s="137"/>
      <c r="V1842" s="137"/>
      <c r="W1842" s="137"/>
    </row>
    <row r="1843" spans="1:23" x14ac:dyDescent="0.25">
      <c r="A1843" s="137"/>
      <c r="B1843" s="137"/>
      <c r="C1843" s="137"/>
      <c r="D1843" s="137"/>
      <c r="E1843" s="137"/>
      <c r="F1843" s="137"/>
      <c r="G1843" s="137"/>
      <c r="H1843" s="137"/>
      <c r="I1843" s="137"/>
      <c r="J1843" s="137"/>
      <c r="K1843" s="137"/>
      <c r="L1843" s="137"/>
      <c r="M1843" s="137"/>
      <c r="N1843" s="137"/>
      <c r="O1843" s="137"/>
      <c r="P1843" s="137"/>
      <c r="Q1843" s="137"/>
      <c r="R1843" s="137"/>
      <c r="S1843" s="137"/>
      <c r="T1843" s="137"/>
      <c r="U1843" s="137"/>
      <c r="V1843" s="137"/>
      <c r="W1843" s="137"/>
    </row>
    <row r="1844" spans="1:23" x14ac:dyDescent="0.25">
      <c r="A1844" s="137"/>
      <c r="B1844" s="137"/>
      <c r="C1844" s="137"/>
      <c r="D1844" s="137"/>
      <c r="E1844" s="137"/>
      <c r="F1844" s="137"/>
      <c r="G1844" s="137"/>
      <c r="H1844" s="137"/>
      <c r="I1844" s="137"/>
      <c r="J1844" s="137"/>
      <c r="K1844" s="137"/>
      <c r="L1844" s="137"/>
      <c r="M1844" s="137"/>
      <c r="N1844" s="137"/>
      <c r="O1844" s="137"/>
      <c r="P1844" s="137"/>
      <c r="Q1844" s="137"/>
      <c r="R1844" s="137"/>
      <c r="S1844" s="137"/>
      <c r="T1844" s="137"/>
      <c r="U1844" s="137"/>
      <c r="V1844" s="137"/>
      <c r="W1844" s="137"/>
    </row>
    <row r="1845" spans="1:23" x14ac:dyDescent="0.25">
      <c r="A1845" s="137"/>
      <c r="B1845" s="137"/>
      <c r="C1845" s="137"/>
      <c r="D1845" s="137"/>
      <c r="E1845" s="137"/>
      <c r="F1845" s="137"/>
      <c r="G1845" s="137"/>
      <c r="H1845" s="137"/>
      <c r="I1845" s="137"/>
      <c r="J1845" s="137"/>
      <c r="K1845" s="137"/>
      <c r="L1845" s="137"/>
      <c r="M1845" s="137"/>
      <c r="N1845" s="137"/>
      <c r="O1845" s="137"/>
      <c r="P1845" s="137"/>
      <c r="Q1845" s="137"/>
      <c r="R1845" s="137"/>
      <c r="S1845" s="137"/>
      <c r="T1845" s="137"/>
      <c r="U1845" s="137"/>
      <c r="V1845" s="137"/>
      <c r="W1845" s="137"/>
    </row>
    <row r="1846" spans="1:23" x14ac:dyDescent="0.25">
      <c r="A1846" s="137"/>
      <c r="B1846" s="137"/>
      <c r="C1846" s="137"/>
      <c r="D1846" s="137"/>
      <c r="E1846" s="137"/>
      <c r="F1846" s="137"/>
      <c r="G1846" s="137"/>
      <c r="H1846" s="137"/>
      <c r="I1846" s="137"/>
      <c r="J1846" s="137"/>
      <c r="K1846" s="137"/>
      <c r="L1846" s="137"/>
      <c r="M1846" s="137"/>
      <c r="N1846" s="137"/>
      <c r="O1846" s="137"/>
      <c r="P1846" s="137"/>
      <c r="Q1846" s="137"/>
      <c r="R1846" s="137"/>
      <c r="S1846" s="137"/>
      <c r="T1846" s="137"/>
      <c r="U1846" s="137"/>
      <c r="V1846" s="137"/>
      <c r="W1846" s="137"/>
    </row>
    <row r="1847" spans="1:23" x14ac:dyDescent="0.25">
      <c r="A1847" s="137"/>
      <c r="B1847" s="137"/>
      <c r="C1847" s="137"/>
      <c r="D1847" s="137"/>
      <c r="E1847" s="137"/>
      <c r="F1847" s="137"/>
      <c r="G1847" s="137"/>
      <c r="H1847" s="137"/>
      <c r="I1847" s="137"/>
      <c r="J1847" s="137"/>
      <c r="K1847" s="137"/>
      <c r="L1847" s="137"/>
      <c r="M1847" s="137"/>
      <c r="N1847" s="137"/>
      <c r="O1847" s="137"/>
      <c r="P1847" s="137"/>
      <c r="Q1847" s="137"/>
      <c r="R1847" s="137"/>
      <c r="S1847" s="137"/>
      <c r="T1847" s="137"/>
      <c r="U1847" s="137"/>
      <c r="V1847" s="137"/>
      <c r="W1847" s="137"/>
    </row>
    <row r="1848" spans="1:23" x14ac:dyDescent="0.25">
      <c r="A1848" s="137"/>
      <c r="B1848" s="137"/>
      <c r="C1848" s="137"/>
      <c r="D1848" s="137"/>
      <c r="E1848" s="137"/>
      <c r="F1848" s="137"/>
      <c r="G1848" s="137"/>
      <c r="H1848" s="137"/>
      <c r="I1848" s="137"/>
      <c r="J1848" s="137"/>
      <c r="K1848" s="137"/>
      <c r="L1848" s="137"/>
      <c r="M1848" s="137"/>
      <c r="N1848" s="137"/>
      <c r="O1848" s="137"/>
      <c r="P1848" s="137"/>
      <c r="Q1848" s="137"/>
      <c r="R1848" s="137"/>
      <c r="S1848" s="137"/>
      <c r="T1848" s="137"/>
      <c r="U1848" s="137"/>
      <c r="V1848" s="137"/>
      <c r="W1848" s="137"/>
    </row>
    <row r="1849" spans="1:23" x14ac:dyDescent="0.25">
      <c r="A1849" s="137"/>
      <c r="B1849" s="137"/>
      <c r="C1849" s="137"/>
      <c r="D1849" s="137"/>
      <c r="E1849" s="137"/>
      <c r="F1849" s="137"/>
      <c r="G1849" s="137"/>
      <c r="H1849" s="137"/>
      <c r="I1849" s="137"/>
      <c r="J1849" s="137"/>
      <c r="K1849" s="137"/>
      <c r="L1849" s="137"/>
      <c r="M1849" s="137"/>
      <c r="N1849" s="137"/>
      <c r="O1849" s="137"/>
      <c r="P1849" s="137"/>
      <c r="Q1849" s="137"/>
      <c r="R1849" s="137"/>
      <c r="S1849" s="137"/>
      <c r="T1849" s="137"/>
      <c r="U1849" s="137"/>
      <c r="V1849" s="137"/>
      <c r="W1849" s="137"/>
    </row>
    <row r="1850" spans="1:23" x14ac:dyDescent="0.25">
      <c r="A1850" s="137"/>
      <c r="B1850" s="137"/>
      <c r="C1850" s="137"/>
      <c r="D1850" s="137"/>
      <c r="E1850" s="137"/>
      <c r="F1850" s="137"/>
      <c r="G1850" s="137"/>
      <c r="H1850" s="137"/>
      <c r="I1850" s="137"/>
      <c r="J1850" s="137"/>
      <c r="K1850" s="137"/>
      <c r="L1850" s="137"/>
      <c r="M1850" s="137"/>
      <c r="N1850" s="137"/>
      <c r="O1850" s="137"/>
      <c r="P1850" s="137"/>
      <c r="Q1850" s="137"/>
      <c r="R1850" s="137"/>
      <c r="S1850" s="137"/>
      <c r="T1850" s="137"/>
      <c r="U1850" s="137"/>
      <c r="V1850" s="137"/>
      <c r="W1850" s="137"/>
    </row>
    <row r="1851" spans="1:23" x14ac:dyDescent="0.25">
      <c r="A1851" s="137"/>
      <c r="B1851" s="137"/>
      <c r="C1851" s="137"/>
      <c r="D1851" s="137"/>
      <c r="E1851" s="137"/>
      <c r="F1851" s="137"/>
      <c r="G1851" s="137"/>
      <c r="H1851" s="137"/>
      <c r="I1851" s="137"/>
      <c r="J1851" s="137"/>
      <c r="K1851" s="137"/>
      <c r="L1851" s="137"/>
      <c r="M1851" s="137"/>
      <c r="N1851" s="137"/>
      <c r="O1851" s="137"/>
      <c r="P1851" s="137"/>
      <c r="Q1851" s="137"/>
      <c r="R1851" s="137"/>
      <c r="S1851" s="137"/>
      <c r="T1851" s="137"/>
      <c r="U1851" s="137"/>
      <c r="V1851" s="137"/>
      <c r="W1851" s="137"/>
    </row>
    <row r="1852" spans="1:23" x14ac:dyDescent="0.25">
      <c r="A1852" s="137"/>
      <c r="B1852" s="137"/>
      <c r="C1852" s="137"/>
      <c r="D1852" s="137"/>
      <c r="E1852" s="137"/>
      <c r="F1852" s="137"/>
      <c r="G1852" s="137"/>
      <c r="H1852" s="137"/>
      <c r="I1852" s="137"/>
      <c r="J1852" s="137"/>
      <c r="K1852" s="137"/>
      <c r="L1852" s="137"/>
      <c r="M1852" s="137"/>
      <c r="N1852" s="137"/>
      <c r="O1852" s="137"/>
      <c r="P1852" s="137"/>
      <c r="Q1852" s="137"/>
      <c r="R1852" s="137"/>
      <c r="S1852" s="137"/>
      <c r="T1852" s="137"/>
      <c r="U1852" s="137"/>
      <c r="V1852" s="137"/>
      <c r="W1852" s="137"/>
    </row>
    <row r="1853" spans="1:23" x14ac:dyDescent="0.25">
      <c r="A1853" s="137"/>
      <c r="B1853" s="137"/>
      <c r="C1853" s="137"/>
      <c r="D1853" s="137"/>
      <c r="E1853" s="137"/>
      <c r="F1853" s="137"/>
      <c r="G1853" s="137"/>
      <c r="H1853" s="137"/>
      <c r="I1853" s="137"/>
      <c r="J1853" s="137"/>
      <c r="K1853" s="137"/>
      <c r="L1853" s="137"/>
      <c r="M1853" s="137"/>
      <c r="N1853" s="137"/>
      <c r="O1853" s="137"/>
      <c r="P1853" s="137"/>
      <c r="Q1853" s="137"/>
      <c r="R1853" s="137"/>
      <c r="S1853" s="137"/>
      <c r="T1853" s="137"/>
      <c r="U1853" s="137"/>
      <c r="V1853" s="137"/>
      <c r="W1853" s="137"/>
    </row>
    <row r="1854" spans="1:23" x14ac:dyDescent="0.25">
      <c r="A1854" s="137"/>
      <c r="B1854" s="137"/>
      <c r="C1854" s="137"/>
      <c r="D1854" s="137"/>
      <c r="E1854" s="137"/>
      <c r="F1854" s="137"/>
      <c r="G1854" s="137"/>
      <c r="H1854" s="137"/>
      <c r="I1854" s="137"/>
      <c r="J1854" s="137"/>
      <c r="K1854" s="137"/>
      <c r="L1854" s="137"/>
      <c r="M1854" s="137"/>
      <c r="N1854" s="137"/>
      <c r="O1854" s="137"/>
      <c r="P1854" s="137"/>
      <c r="Q1854" s="137"/>
      <c r="R1854" s="137"/>
      <c r="S1854" s="137"/>
      <c r="T1854" s="137"/>
      <c r="U1854" s="137"/>
      <c r="V1854" s="137"/>
      <c r="W1854" s="137"/>
    </row>
    <row r="1855" spans="1:23" x14ac:dyDescent="0.25">
      <c r="A1855" s="137"/>
      <c r="B1855" s="137"/>
      <c r="C1855" s="137"/>
      <c r="D1855" s="137"/>
      <c r="E1855" s="137"/>
      <c r="F1855" s="137"/>
      <c r="G1855" s="137"/>
      <c r="H1855" s="137"/>
      <c r="I1855" s="137"/>
      <c r="J1855" s="137"/>
      <c r="K1855" s="137"/>
      <c r="L1855" s="137"/>
      <c r="M1855" s="137"/>
      <c r="N1855" s="137"/>
      <c r="O1855" s="137"/>
      <c r="P1855" s="137"/>
      <c r="Q1855" s="137"/>
      <c r="R1855" s="137"/>
      <c r="S1855" s="137"/>
      <c r="T1855" s="137"/>
      <c r="U1855" s="137"/>
      <c r="V1855" s="137"/>
      <c r="W1855" s="137"/>
    </row>
    <row r="1856" spans="1:23" x14ac:dyDescent="0.25">
      <c r="A1856" s="137"/>
      <c r="B1856" s="137"/>
      <c r="C1856" s="137"/>
      <c r="D1856" s="137"/>
      <c r="E1856" s="137"/>
      <c r="F1856" s="137"/>
      <c r="G1856" s="137"/>
      <c r="H1856" s="137"/>
      <c r="I1856" s="137"/>
      <c r="J1856" s="137"/>
      <c r="K1856" s="137"/>
      <c r="L1856" s="137"/>
      <c r="M1856" s="137"/>
      <c r="N1856" s="137"/>
      <c r="O1856" s="137"/>
      <c r="P1856" s="137"/>
      <c r="Q1856" s="137"/>
      <c r="R1856" s="137"/>
      <c r="S1856" s="137"/>
      <c r="T1856" s="137"/>
      <c r="U1856" s="137"/>
      <c r="V1856" s="137"/>
      <c r="W1856" s="137"/>
    </row>
    <row r="1857" spans="1:23" x14ac:dyDescent="0.25">
      <c r="A1857" s="137"/>
      <c r="B1857" s="137"/>
      <c r="C1857" s="137"/>
      <c r="D1857" s="137"/>
      <c r="E1857" s="137"/>
      <c r="F1857" s="137"/>
      <c r="G1857" s="137"/>
      <c r="H1857" s="137"/>
      <c r="I1857" s="137"/>
      <c r="J1857" s="137"/>
      <c r="K1857" s="137"/>
      <c r="L1857" s="137"/>
      <c r="M1857" s="137"/>
      <c r="N1857" s="137"/>
      <c r="O1857" s="137"/>
      <c r="P1857" s="137"/>
      <c r="Q1857" s="137"/>
      <c r="R1857" s="137"/>
      <c r="S1857" s="137"/>
      <c r="T1857" s="137"/>
      <c r="U1857" s="137"/>
      <c r="V1857" s="137"/>
      <c r="W1857" s="137"/>
    </row>
    <row r="1858" spans="1:23" x14ac:dyDescent="0.25">
      <c r="A1858" s="137"/>
      <c r="B1858" s="137"/>
      <c r="C1858" s="137"/>
      <c r="D1858" s="137"/>
      <c r="E1858" s="137"/>
      <c r="F1858" s="137"/>
      <c r="G1858" s="137"/>
      <c r="H1858" s="137"/>
      <c r="I1858" s="137"/>
      <c r="J1858" s="137"/>
      <c r="K1858" s="137"/>
      <c r="L1858" s="137"/>
      <c r="M1858" s="137"/>
      <c r="N1858" s="137"/>
      <c r="O1858" s="137"/>
      <c r="P1858" s="137"/>
      <c r="Q1858" s="137"/>
      <c r="R1858" s="137"/>
      <c r="S1858" s="137"/>
      <c r="T1858" s="137"/>
      <c r="U1858" s="137"/>
      <c r="V1858" s="137"/>
      <c r="W1858" s="137"/>
    </row>
    <row r="1859" spans="1:23" x14ac:dyDescent="0.25">
      <c r="A1859" s="137"/>
      <c r="B1859" s="137"/>
      <c r="C1859" s="137"/>
      <c r="D1859" s="137"/>
      <c r="E1859" s="137"/>
      <c r="F1859" s="137"/>
      <c r="G1859" s="137"/>
      <c r="H1859" s="137"/>
      <c r="I1859" s="137"/>
      <c r="J1859" s="137"/>
      <c r="K1859" s="137"/>
      <c r="L1859" s="137"/>
      <c r="M1859" s="137"/>
      <c r="N1859" s="137"/>
      <c r="O1859" s="137"/>
      <c r="P1859" s="137"/>
      <c r="Q1859" s="137"/>
      <c r="R1859" s="137"/>
      <c r="S1859" s="137"/>
      <c r="T1859" s="137"/>
      <c r="U1859" s="137"/>
      <c r="V1859" s="137"/>
      <c r="W1859" s="137"/>
    </row>
    <row r="1860" spans="1:23" x14ac:dyDescent="0.25">
      <c r="A1860" s="137"/>
      <c r="B1860" s="137"/>
      <c r="C1860" s="137"/>
      <c r="D1860" s="137"/>
      <c r="E1860" s="137"/>
      <c r="F1860" s="137"/>
      <c r="G1860" s="137"/>
      <c r="H1860" s="137"/>
      <c r="I1860" s="137"/>
      <c r="J1860" s="137"/>
      <c r="K1860" s="137"/>
      <c r="L1860" s="137"/>
      <c r="M1860" s="137"/>
      <c r="N1860" s="137"/>
      <c r="O1860" s="137"/>
      <c r="P1860" s="137"/>
      <c r="Q1860" s="137"/>
      <c r="R1860" s="137"/>
      <c r="S1860" s="137"/>
      <c r="T1860" s="137"/>
      <c r="U1860" s="137"/>
      <c r="V1860" s="137"/>
      <c r="W1860" s="137"/>
    </row>
    <row r="1861" spans="1:23" x14ac:dyDescent="0.25">
      <c r="A1861" s="137"/>
      <c r="B1861" s="137"/>
      <c r="C1861" s="137"/>
      <c r="D1861" s="137"/>
      <c r="E1861" s="137"/>
      <c r="F1861" s="137"/>
      <c r="G1861" s="137"/>
      <c r="H1861" s="137"/>
      <c r="I1861" s="137"/>
      <c r="J1861" s="137"/>
      <c r="K1861" s="137"/>
      <c r="L1861" s="137"/>
      <c r="M1861" s="137"/>
      <c r="N1861" s="137"/>
      <c r="O1861" s="137"/>
      <c r="P1861" s="137"/>
      <c r="Q1861" s="137"/>
      <c r="R1861" s="137"/>
      <c r="S1861" s="137"/>
      <c r="T1861" s="137"/>
      <c r="U1861" s="137"/>
      <c r="V1861" s="137"/>
      <c r="W1861" s="137"/>
    </row>
    <row r="1862" spans="1:23" x14ac:dyDescent="0.25">
      <c r="A1862" s="137"/>
      <c r="B1862" s="137"/>
      <c r="C1862" s="137"/>
      <c r="D1862" s="137"/>
      <c r="E1862" s="137"/>
      <c r="F1862" s="137"/>
      <c r="G1862" s="137"/>
      <c r="H1862" s="137"/>
      <c r="I1862" s="137"/>
      <c r="J1862" s="137"/>
      <c r="K1862" s="137"/>
      <c r="L1862" s="137"/>
      <c r="M1862" s="137"/>
      <c r="N1862" s="137"/>
      <c r="O1862" s="137"/>
      <c r="P1862" s="137"/>
      <c r="Q1862" s="137"/>
      <c r="R1862" s="137"/>
      <c r="S1862" s="137"/>
      <c r="T1862" s="137"/>
      <c r="U1862" s="137"/>
      <c r="V1862" s="137"/>
      <c r="W1862" s="137"/>
    </row>
    <row r="1863" spans="1:23" x14ac:dyDescent="0.25">
      <c r="A1863" s="137"/>
      <c r="B1863" s="137"/>
      <c r="C1863" s="137"/>
      <c r="D1863" s="137"/>
      <c r="E1863" s="137"/>
      <c r="F1863" s="137"/>
      <c r="G1863" s="137"/>
      <c r="H1863" s="137"/>
      <c r="I1863" s="137"/>
      <c r="J1863" s="137"/>
      <c r="K1863" s="137"/>
      <c r="L1863" s="137"/>
      <c r="M1863" s="137"/>
      <c r="N1863" s="137"/>
      <c r="O1863" s="137"/>
      <c r="P1863" s="137"/>
      <c r="Q1863" s="137"/>
      <c r="R1863" s="137"/>
      <c r="S1863" s="137"/>
      <c r="T1863" s="137"/>
      <c r="U1863" s="137"/>
      <c r="V1863" s="137"/>
      <c r="W1863" s="137"/>
    </row>
    <row r="1864" spans="1:23" x14ac:dyDescent="0.25">
      <c r="A1864" s="137"/>
      <c r="B1864" s="137"/>
      <c r="C1864" s="137"/>
      <c r="D1864" s="137"/>
      <c r="E1864" s="137"/>
      <c r="F1864" s="137"/>
      <c r="G1864" s="137"/>
      <c r="H1864" s="137"/>
      <c r="I1864" s="137"/>
      <c r="J1864" s="137"/>
      <c r="K1864" s="137"/>
      <c r="L1864" s="137"/>
      <c r="M1864" s="137"/>
      <c r="N1864" s="137"/>
      <c r="O1864" s="137"/>
      <c r="P1864" s="137"/>
      <c r="Q1864" s="137"/>
      <c r="R1864" s="137"/>
      <c r="S1864" s="137"/>
      <c r="T1864" s="137"/>
      <c r="U1864" s="137"/>
      <c r="V1864" s="137"/>
      <c r="W1864" s="137"/>
    </row>
    <row r="1865" spans="1:23" x14ac:dyDescent="0.25">
      <c r="A1865" s="137"/>
      <c r="B1865" s="137"/>
      <c r="C1865" s="137"/>
      <c r="D1865" s="137"/>
      <c r="E1865" s="137"/>
      <c r="F1865" s="137"/>
      <c r="G1865" s="137"/>
      <c r="H1865" s="137"/>
      <c r="I1865" s="137"/>
      <c r="J1865" s="137"/>
      <c r="K1865" s="137"/>
      <c r="L1865" s="137"/>
      <c r="M1865" s="137"/>
      <c r="N1865" s="137"/>
      <c r="O1865" s="137"/>
      <c r="P1865" s="137"/>
      <c r="Q1865" s="137"/>
      <c r="R1865" s="137"/>
      <c r="S1865" s="137"/>
      <c r="T1865" s="137"/>
      <c r="U1865" s="137"/>
      <c r="V1865" s="137"/>
      <c r="W1865" s="137"/>
    </row>
    <row r="1866" spans="1:23" x14ac:dyDescent="0.25">
      <c r="A1866" s="137"/>
      <c r="B1866" s="137"/>
      <c r="C1866" s="137"/>
      <c r="D1866" s="137"/>
      <c r="E1866" s="137"/>
      <c r="F1866" s="137"/>
      <c r="G1866" s="137"/>
      <c r="H1866" s="137"/>
      <c r="I1866" s="137"/>
      <c r="J1866" s="137"/>
      <c r="K1866" s="137"/>
      <c r="L1866" s="137"/>
      <c r="M1866" s="137"/>
      <c r="N1866" s="137"/>
      <c r="O1866" s="137"/>
      <c r="P1866" s="137"/>
      <c r="Q1866" s="137"/>
      <c r="R1866" s="137"/>
      <c r="S1866" s="137"/>
      <c r="T1866" s="137"/>
      <c r="U1866" s="137"/>
      <c r="V1866" s="137"/>
      <c r="W1866" s="137"/>
    </row>
    <row r="1867" spans="1:23" x14ac:dyDescent="0.25">
      <c r="A1867" s="137"/>
      <c r="B1867" s="137"/>
      <c r="C1867" s="137"/>
      <c r="D1867" s="137"/>
      <c r="E1867" s="137"/>
      <c r="F1867" s="137"/>
      <c r="G1867" s="137"/>
      <c r="H1867" s="137"/>
      <c r="I1867" s="137"/>
      <c r="J1867" s="137"/>
      <c r="K1867" s="137"/>
      <c r="L1867" s="137"/>
      <c r="M1867" s="137"/>
      <c r="N1867" s="137"/>
      <c r="O1867" s="137"/>
      <c r="P1867" s="137"/>
      <c r="Q1867" s="137"/>
      <c r="R1867" s="137"/>
      <c r="S1867" s="137"/>
      <c r="T1867" s="137"/>
      <c r="U1867" s="137"/>
      <c r="V1867" s="137"/>
      <c r="W1867" s="137"/>
    </row>
    <row r="1868" spans="1:23" x14ac:dyDescent="0.25">
      <c r="A1868" s="137"/>
      <c r="B1868" s="137"/>
      <c r="C1868" s="137"/>
      <c r="D1868" s="137"/>
      <c r="E1868" s="137"/>
      <c r="F1868" s="137"/>
      <c r="G1868" s="137"/>
      <c r="H1868" s="137"/>
      <c r="I1868" s="137"/>
      <c r="J1868" s="137"/>
      <c r="K1868" s="137"/>
      <c r="L1868" s="137"/>
      <c r="M1868" s="137"/>
      <c r="N1868" s="137"/>
      <c r="O1868" s="137"/>
      <c r="P1868" s="137"/>
      <c r="Q1868" s="137"/>
      <c r="R1868" s="137"/>
      <c r="S1868" s="137"/>
      <c r="T1868" s="137"/>
      <c r="U1868" s="137"/>
      <c r="V1868" s="137"/>
      <c r="W1868" s="137"/>
    </row>
    <row r="1869" spans="1:23" x14ac:dyDescent="0.25">
      <c r="A1869" s="137"/>
      <c r="B1869" s="137"/>
      <c r="C1869" s="137"/>
      <c r="D1869" s="137"/>
      <c r="E1869" s="137"/>
      <c r="F1869" s="137"/>
      <c r="G1869" s="137"/>
      <c r="H1869" s="137"/>
      <c r="I1869" s="137"/>
      <c r="J1869" s="137"/>
      <c r="K1869" s="137"/>
      <c r="L1869" s="137"/>
      <c r="M1869" s="137"/>
      <c r="N1869" s="137"/>
      <c r="O1869" s="137"/>
      <c r="P1869" s="137"/>
      <c r="Q1869" s="137"/>
      <c r="R1869" s="137"/>
      <c r="S1869" s="137"/>
      <c r="T1869" s="137"/>
      <c r="U1869" s="137"/>
      <c r="V1869" s="137"/>
      <c r="W1869" s="137"/>
    </row>
    <row r="1870" spans="1:23" x14ac:dyDescent="0.25">
      <c r="A1870" s="137"/>
      <c r="B1870" s="137"/>
      <c r="C1870" s="137"/>
      <c r="D1870" s="137"/>
      <c r="E1870" s="137"/>
      <c r="F1870" s="137"/>
      <c r="G1870" s="137"/>
      <c r="H1870" s="137"/>
      <c r="I1870" s="137"/>
      <c r="J1870" s="137"/>
      <c r="K1870" s="137"/>
      <c r="L1870" s="137"/>
      <c r="M1870" s="137"/>
      <c r="N1870" s="137"/>
      <c r="O1870" s="137"/>
      <c r="P1870" s="137"/>
      <c r="Q1870" s="137"/>
      <c r="R1870" s="137"/>
      <c r="S1870" s="137"/>
      <c r="T1870" s="137"/>
      <c r="U1870" s="137"/>
      <c r="V1870" s="137"/>
      <c r="W1870" s="137"/>
    </row>
    <row r="1871" spans="1:23" x14ac:dyDescent="0.25">
      <c r="A1871" s="137"/>
      <c r="B1871" s="137"/>
      <c r="C1871" s="137"/>
      <c r="D1871" s="137"/>
      <c r="E1871" s="137"/>
      <c r="F1871" s="137"/>
      <c r="G1871" s="137"/>
      <c r="H1871" s="137"/>
      <c r="I1871" s="137"/>
      <c r="J1871" s="137"/>
      <c r="K1871" s="137"/>
      <c r="L1871" s="137"/>
      <c r="M1871" s="137"/>
      <c r="N1871" s="137"/>
      <c r="O1871" s="137"/>
      <c r="P1871" s="137"/>
      <c r="Q1871" s="137"/>
      <c r="R1871" s="137"/>
      <c r="S1871" s="137"/>
      <c r="T1871" s="137"/>
      <c r="U1871" s="137"/>
      <c r="V1871" s="137"/>
      <c r="W1871" s="137"/>
    </row>
    <row r="1872" spans="1:23" x14ac:dyDescent="0.25">
      <c r="A1872" s="137"/>
      <c r="B1872" s="137"/>
      <c r="C1872" s="137"/>
      <c r="D1872" s="137"/>
      <c r="E1872" s="137"/>
      <c r="F1872" s="137"/>
      <c r="G1872" s="137"/>
      <c r="H1872" s="137"/>
      <c r="I1872" s="137"/>
      <c r="J1872" s="137"/>
      <c r="K1872" s="137"/>
      <c r="L1872" s="137"/>
      <c r="M1872" s="137"/>
      <c r="N1872" s="137"/>
      <c r="O1872" s="137"/>
      <c r="P1872" s="137"/>
      <c r="Q1872" s="137"/>
      <c r="R1872" s="137"/>
      <c r="S1872" s="137"/>
      <c r="T1872" s="137"/>
      <c r="U1872" s="137"/>
      <c r="V1872" s="137"/>
      <c r="W1872" s="137"/>
    </row>
    <row r="1873" spans="1:23" x14ac:dyDescent="0.25">
      <c r="A1873" s="137"/>
      <c r="B1873" s="137"/>
      <c r="C1873" s="137"/>
      <c r="D1873" s="137"/>
      <c r="E1873" s="137"/>
      <c r="F1873" s="137"/>
      <c r="G1873" s="137"/>
      <c r="H1873" s="137"/>
      <c r="I1873" s="137"/>
      <c r="J1873" s="137"/>
      <c r="K1873" s="137"/>
      <c r="L1873" s="137"/>
      <c r="M1873" s="137"/>
      <c r="N1873" s="137"/>
      <c r="O1873" s="137"/>
      <c r="P1873" s="137"/>
      <c r="Q1873" s="137"/>
      <c r="R1873" s="137"/>
      <c r="S1873" s="137"/>
      <c r="T1873" s="137"/>
      <c r="U1873" s="137"/>
      <c r="V1873" s="137"/>
      <c r="W1873" s="137"/>
    </row>
    <row r="1874" spans="1:23" x14ac:dyDescent="0.25">
      <c r="A1874" s="137"/>
      <c r="B1874" s="137"/>
      <c r="C1874" s="137"/>
      <c r="D1874" s="137"/>
      <c r="E1874" s="137"/>
      <c r="F1874" s="137"/>
      <c r="G1874" s="137"/>
      <c r="H1874" s="137"/>
      <c r="I1874" s="137"/>
      <c r="J1874" s="137"/>
      <c r="K1874" s="137"/>
      <c r="L1874" s="137"/>
      <c r="M1874" s="137"/>
      <c r="N1874" s="137"/>
      <c r="O1874" s="137"/>
      <c r="P1874" s="137"/>
      <c r="Q1874" s="137"/>
      <c r="R1874" s="137"/>
      <c r="S1874" s="137"/>
      <c r="T1874" s="137"/>
      <c r="U1874" s="137"/>
      <c r="V1874" s="137"/>
      <c r="W1874" s="137"/>
    </row>
    <row r="1875" spans="1:23" x14ac:dyDescent="0.25">
      <c r="A1875" s="137"/>
      <c r="B1875" s="137"/>
      <c r="C1875" s="137"/>
      <c r="D1875" s="137"/>
      <c r="E1875" s="137"/>
      <c r="F1875" s="137"/>
      <c r="G1875" s="137"/>
      <c r="H1875" s="137"/>
      <c r="I1875" s="137"/>
      <c r="J1875" s="137"/>
      <c r="K1875" s="137"/>
      <c r="L1875" s="137"/>
      <c r="M1875" s="137"/>
      <c r="N1875" s="137"/>
      <c r="O1875" s="137"/>
      <c r="P1875" s="137"/>
      <c r="Q1875" s="137"/>
      <c r="R1875" s="137"/>
      <c r="S1875" s="137"/>
      <c r="T1875" s="137"/>
      <c r="U1875" s="137"/>
      <c r="V1875" s="137"/>
      <c r="W1875" s="137"/>
    </row>
    <row r="1876" spans="1:23" x14ac:dyDescent="0.25">
      <c r="A1876" s="137"/>
      <c r="B1876" s="137"/>
      <c r="C1876" s="137"/>
      <c r="D1876" s="137"/>
      <c r="E1876" s="137"/>
      <c r="F1876" s="137"/>
      <c r="G1876" s="137"/>
      <c r="H1876" s="137"/>
      <c r="I1876" s="137"/>
      <c r="J1876" s="137"/>
      <c r="K1876" s="137"/>
      <c r="L1876" s="137"/>
      <c r="M1876" s="137"/>
      <c r="N1876" s="137"/>
      <c r="O1876" s="137"/>
      <c r="P1876" s="137"/>
      <c r="Q1876" s="137"/>
      <c r="R1876" s="137"/>
      <c r="S1876" s="137"/>
      <c r="T1876" s="137"/>
      <c r="U1876" s="137"/>
      <c r="V1876" s="137"/>
      <c r="W1876" s="137"/>
    </row>
    <row r="1877" spans="1:23" x14ac:dyDescent="0.25">
      <c r="A1877" s="137"/>
      <c r="B1877" s="137"/>
      <c r="C1877" s="137"/>
      <c r="D1877" s="137"/>
      <c r="E1877" s="137"/>
      <c r="F1877" s="137"/>
      <c r="G1877" s="137"/>
      <c r="H1877" s="137"/>
      <c r="I1877" s="137"/>
      <c r="J1877" s="137"/>
      <c r="K1877" s="137"/>
      <c r="L1877" s="137"/>
      <c r="M1877" s="137"/>
      <c r="N1877" s="137"/>
      <c r="O1877" s="137"/>
      <c r="P1877" s="137"/>
      <c r="Q1877" s="137"/>
      <c r="R1877" s="137"/>
      <c r="S1877" s="137"/>
      <c r="T1877" s="137"/>
      <c r="U1877" s="137"/>
      <c r="V1877" s="137"/>
      <c r="W1877" s="137"/>
    </row>
    <row r="1878" spans="1:23" x14ac:dyDescent="0.25">
      <c r="A1878" s="137"/>
      <c r="B1878" s="137"/>
      <c r="C1878" s="137"/>
      <c r="D1878" s="137"/>
      <c r="E1878" s="137"/>
      <c r="F1878" s="137"/>
      <c r="G1878" s="137"/>
      <c r="H1878" s="137"/>
      <c r="I1878" s="137"/>
      <c r="J1878" s="137"/>
      <c r="K1878" s="137"/>
      <c r="L1878" s="137"/>
      <c r="M1878" s="137"/>
      <c r="N1878" s="137"/>
      <c r="O1878" s="137"/>
      <c r="P1878" s="137"/>
      <c r="Q1878" s="137"/>
      <c r="R1878" s="137"/>
      <c r="S1878" s="137"/>
      <c r="T1878" s="137"/>
      <c r="U1878" s="137"/>
      <c r="V1878" s="137"/>
      <c r="W1878" s="137"/>
    </row>
    <row r="1879" spans="1:23" x14ac:dyDescent="0.25">
      <c r="A1879" s="137"/>
      <c r="B1879" s="137"/>
      <c r="C1879" s="137"/>
      <c r="D1879" s="137"/>
      <c r="E1879" s="137"/>
      <c r="F1879" s="137"/>
      <c r="G1879" s="137"/>
      <c r="H1879" s="137"/>
      <c r="I1879" s="137"/>
      <c r="J1879" s="137"/>
      <c r="K1879" s="137"/>
      <c r="L1879" s="137"/>
      <c r="M1879" s="137"/>
      <c r="N1879" s="137"/>
      <c r="O1879" s="137"/>
      <c r="P1879" s="137"/>
      <c r="Q1879" s="137"/>
      <c r="R1879" s="137"/>
      <c r="S1879" s="137"/>
      <c r="T1879" s="137"/>
      <c r="U1879" s="137"/>
      <c r="V1879" s="137"/>
      <c r="W1879" s="137"/>
    </row>
    <row r="1880" spans="1:23" x14ac:dyDescent="0.25">
      <c r="A1880" s="137"/>
      <c r="B1880" s="137"/>
      <c r="C1880" s="137"/>
      <c r="D1880" s="137"/>
      <c r="E1880" s="137"/>
      <c r="F1880" s="137"/>
      <c r="G1880" s="137"/>
      <c r="H1880" s="137"/>
      <c r="I1880" s="137"/>
      <c r="J1880" s="137"/>
      <c r="K1880" s="137"/>
      <c r="L1880" s="137"/>
      <c r="M1880" s="137"/>
      <c r="N1880" s="137"/>
      <c r="O1880" s="137"/>
      <c r="P1880" s="137"/>
      <c r="Q1880" s="137"/>
      <c r="R1880" s="137"/>
      <c r="S1880" s="137"/>
      <c r="T1880" s="137"/>
      <c r="U1880" s="137"/>
      <c r="V1880" s="137"/>
      <c r="W1880" s="137"/>
    </row>
    <row r="1881" spans="1:23" x14ac:dyDescent="0.25">
      <c r="A1881" s="137"/>
      <c r="B1881" s="137"/>
      <c r="C1881" s="137"/>
      <c r="D1881" s="137"/>
      <c r="E1881" s="137"/>
      <c r="F1881" s="137"/>
      <c r="G1881" s="137"/>
      <c r="H1881" s="137"/>
      <c r="I1881" s="137"/>
      <c r="J1881" s="137"/>
      <c r="K1881" s="137"/>
      <c r="L1881" s="137"/>
      <c r="M1881" s="137"/>
      <c r="N1881" s="137"/>
      <c r="O1881" s="137"/>
      <c r="P1881" s="137"/>
      <c r="Q1881" s="137"/>
      <c r="R1881" s="137"/>
      <c r="S1881" s="137"/>
      <c r="T1881" s="137"/>
      <c r="U1881" s="137"/>
      <c r="V1881" s="137"/>
      <c r="W1881" s="137"/>
    </row>
    <row r="1882" spans="1:23" x14ac:dyDescent="0.25">
      <c r="A1882" s="137"/>
      <c r="B1882" s="137"/>
      <c r="C1882" s="137"/>
      <c r="D1882" s="137"/>
      <c r="E1882" s="137"/>
      <c r="F1882" s="137"/>
      <c r="G1882" s="137"/>
      <c r="H1882" s="137"/>
      <c r="I1882" s="137"/>
      <c r="J1882" s="137"/>
      <c r="K1882" s="137"/>
      <c r="L1882" s="137"/>
      <c r="M1882" s="137"/>
      <c r="N1882" s="137"/>
      <c r="O1882" s="137"/>
      <c r="P1882" s="137"/>
      <c r="Q1882" s="137"/>
      <c r="R1882" s="137"/>
      <c r="S1882" s="137"/>
      <c r="T1882" s="137"/>
      <c r="U1882" s="137"/>
      <c r="V1882" s="137"/>
      <c r="W1882" s="137"/>
    </row>
    <row r="1883" spans="1:23" x14ac:dyDescent="0.25">
      <c r="A1883" s="137"/>
      <c r="B1883" s="137"/>
      <c r="C1883" s="137"/>
      <c r="D1883" s="137"/>
      <c r="E1883" s="137"/>
      <c r="F1883" s="137"/>
      <c r="G1883" s="137"/>
      <c r="H1883" s="137"/>
      <c r="I1883" s="137"/>
      <c r="J1883" s="137"/>
      <c r="K1883" s="137"/>
      <c r="L1883" s="137"/>
      <c r="M1883" s="137"/>
      <c r="N1883" s="137"/>
      <c r="O1883" s="137"/>
      <c r="P1883" s="137"/>
      <c r="Q1883" s="137"/>
      <c r="R1883" s="137"/>
      <c r="S1883" s="137"/>
      <c r="T1883" s="137"/>
      <c r="U1883" s="137"/>
      <c r="V1883" s="137"/>
      <c r="W1883" s="137"/>
    </row>
    <row r="1884" spans="1:23" x14ac:dyDescent="0.25">
      <c r="A1884" s="137"/>
      <c r="B1884" s="137"/>
      <c r="C1884" s="137"/>
      <c r="D1884" s="137"/>
      <c r="E1884" s="137"/>
      <c r="F1884" s="137"/>
      <c r="G1884" s="137"/>
      <c r="H1884" s="137"/>
      <c r="I1884" s="137"/>
      <c r="J1884" s="137"/>
      <c r="K1884" s="137"/>
      <c r="L1884" s="137"/>
      <c r="M1884" s="137"/>
      <c r="N1884" s="137"/>
      <c r="O1884" s="137"/>
      <c r="P1884" s="137"/>
      <c r="Q1884" s="137"/>
      <c r="R1884" s="137"/>
      <c r="S1884" s="137"/>
      <c r="T1884" s="137"/>
      <c r="U1884" s="137"/>
      <c r="V1884" s="137"/>
      <c r="W1884" s="137"/>
    </row>
    <row r="1885" spans="1:23" x14ac:dyDescent="0.25">
      <c r="A1885" s="137"/>
      <c r="B1885" s="137"/>
      <c r="C1885" s="137"/>
      <c r="D1885" s="137"/>
      <c r="E1885" s="137"/>
      <c r="F1885" s="137"/>
      <c r="G1885" s="137"/>
      <c r="H1885" s="137"/>
      <c r="I1885" s="137"/>
      <c r="J1885" s="137"/>
      <c r="K1885" s="137"/>
      <c r="L1885" s="137"/>
      <c r="M1885" s="137"/>
      <c r="N1885" s="137"/>
      <c r="O1885" s="137"/>
      <c r="P1885" s="137"/>
      <c r="Q1885" s="137"/>
      <c r="R1885" s="137"/>
      <c r="S1885" s="137"/>
      <c r="T1885" s="137"/>
      <c r="U1885" s="137"/>
      <c r="V1885" s="137"/>
      <c r="W1885" s="137"/>
    </row>
    <row r="1886" spans="1:23" x14ac:dyDescent="0.25">
      <c r="A1886" s="137"/>
      <c r="B1886" s="137"/>
      <c r="C1886" s="137"/>
      <c r="D1886" s="137"/>
      <c r="E1886" s="137"/>
      <c r="F1886" s="137"/>
      <c r="G1886" s="137"/>
      <c r="H1886" s="137"/>
      <c r="I1886" s="137"/>
      <c r="J1886" s="137"/>
      <c r="K1886" s="137"/>
      <c r="L1886" s="137"/>
      <c r="M1886" s="137"/>
      <c r="N1886" s="137"/>
      <c r="O1886" s="137"/>
      <c r="P1886" s="137"/>
      <c r="Q1886" s="137"/>
      <c r="R1886" s="137"/>
      <c r="S1886" s="137"/>
      <c r="T1886" s="137"/>
      <c r="U1886" s="137"/>
      <c r="V1886" s="137"/>
      <c r="W1886" s="137"/>
    </row>
    <row r="1887" spans="1:23" x14ac:dyDescent="0.25">
      <c r="A1887" s="137"/>
      <c r="B1887" s="137"/>
      <c r="C1887" s="137"/>
      <c r="D1887" s="137"/>
      <c r="E1887" s="137"/>
      <c r="F1887" s="137"/>
      <c r="G1887" s="137"/>
      <c r="H1887" s="137"/>
      <c r="I1887" s="137"/>
      <c r="J1887" s="137"/>
      <c r="K1887" s="137"/>
      <c r="L1887" s="137"/>
      <c r="M1887" s="137"/>
      <c r="N1887" s="137"/>
      <c r="O1887" s="137"/>
      <c r="P1887" s="137"/>
      <c r="Q1887" s="137"/>
      <c r="R1887" s="137"/>
      <c r="S1887" s="137"/>
      <c r="T1887" s="137"/>
      <c r="U1887" s="137"/>
      <c r="V1887" s="137"/>
      <c r="W1887" s="137"/>
    </row>
    <row r="1888" spans="1:23" x14ac:dyDescent="0.25">
      <c r="A1888" s="137"/>
      <c r="B1888" s="137"/>
      <c r="C1888" s="137"/>
      <c r="D1888" s="137"/>
      <c r="E1888" s="137"/>
      <c r="F1888" s="137"/>
      <c r="G1888" s="137"/>
      <c r="H1888" s="137"/>
      <c r="I1888" s="137"/>
      <c r="J1888" s="137"/>
      <c r="K1888" s="137"/>
      <c r="L1888" s="137"/>
      <c r="M1888" s="137"/>
      <c r="N1888" s="137"/>
      <c r="O1888" s="137"/>
      <c r="P1888" s="137"/>
      <c r="Q1888" s="137"/>
      <c r="R1888" s="137"/>
      <c r="S1888" s="137"/>
      <c r="T1888" s="137"/>
      <c r="U1888" s="137"/>
      <c r="V1888" s="137"/>
      <c r="W1888" s="137"/>
    </row>
    <row r="1889" spans="1:23" x14ac:dyDescent="0.25">
      <c r="A1889" s="137"/>
      <c r="B1889" s="137"/>
      <c r="C1889" s="137"/>
      <c r="D1889" s="137"/>
      <c r="E1889" s="137"/>
      <c r="F1889" s="137"/>
      <c r="G1889" s="137"/>
      <c r="H1889" s="137"/>
      <c r="I1889" s="137"/>
      <c r="J1889" s="137"/>
      <c r="K1889" s="137"/>
      <c r="L1889" s="137"/>
      <c r="M1889" s="137"/>
      <c r="N1889" s="137"/>
      <c r="O1889" s="137"/>
      <c r="P1889" s="137"/>
      <c r="Q1889" s="137"/>
      <c r="R1889" s="137"/>
      <c r="S1889" s="137"/>
      <c r="T1889" s="137"/>
      <c r="U1889" s="137"/>
      <c r="V1889" s="137"/>
      <c r="W1889" s="137"/>
    </row>
    <row r="1890" spans="1:23" x14ac:dyDescent="0.25">
      <c r="A1890" s="137"/>
      <c r="B1890" s="137"/>
      <c r="C1890" s="137"/>
      <c r="D1890" s="137"/>
      <c r="E1890" s="137"/>
      <c r="F1890" s="137"/>
      <c r="G1890" s="137"/>
      <c r="H1890" s="137"/>
      <c r="I1890" s="137"/>
      <c r="J1890" s="137"/>
      <c r="K1890" s="137"/>
      <c r="L1890" s="137"/>
      <c r="M1890" s="137"/>
      <c r="N1890" s="137"/>
      <c r="O1890" s="137"/>
      <c r="P1890" s="137"/>
      <c r="Q1890" s="137"/>
      <c r="R1890" s="137"/>
      <c r="S1890" s="137"/>
      <c r="T1890" s="137"/>
      <c r="U1890" s="137"/>
      <c r="V1890" s="137"/>
      <c r="W1890" s="137"/>
    </row>
    <row r="1891" spans="1:23" x14ac:dyDescent="0.25">
      <c r="A1891" s="137"/>
      <c r="B1891" s="137"/>
      <c r="C1891" s="137"/>
      <c r="D1891" s="137"/>
      <c r="E1891" s="137"/>
      <c r="F1891" s="137"/>
      <c r="G1891" s="137"/>
      <c r="H1891" s="137"/>
      <c r="I1891" s="137"/>
      <c r="J1891" s="137"/>
      <c r="K1891" s="137"/>
      <c r="L1891" s="137"/>
      <c r="M1891" s="137"/>
      <c r="N1891" s="137"/>
      <c r="O1891" s="137"/>
      <c r="P1891" s="137"/>
      <c r="Q1891" s="137"/>
      <c r="R1891" s="137"/>
      <c r="S1891" s="137"/>
      <c r="T1891" s="137"/>
      <c r="U1891" s="137"/>
      <c r="V1891" s="137"/>
      <c r="W1891" s="137"/>
    </row>
    <row r="1892" spans="1:23" x14ac:dyDescent="0.25">
      <c r="A1892" s="137"/>
      <c r="B1892" s="137"/>
      <c r="C1892" s="137"/>
      <c r="D1892" s="137"/>
      <c r="E1892" s="137"/>
      <c r="F1892" s="137"/>
      <c r="G1892" s="137"/>
      <c r="H1892" s="137"/>
      <c r="I1892" s="137"/>
      <c r="J1892" s="137"/>
      <c r="K1892" s="137"/>
      <c r="L1892" s="137"/>
      <c r="M1892" s="137"/>
      <c r="N1892" s="137"/>
      <c r="O1892" s="137"/>
      <c r="P1892" s="137"/>
      <c r="Q1892" s="137"/>
      <c r="R1892" s="137"/>
      <c r="S1892" s="137"/>
      <c r="T1892" s="137"/>
      <c r="U1892" s="137"/>
      <c r="V1892" s="137"/>
      <c r="W1892" s="137"/>
    </row>
    <row r="1893" spans="1:23" x14ac:dyDescent="0.25">
      <c r="A1893" s="137"/>
      <c r="B1893" s="137"/>
      <c r="C1893" s="137"/>
      <c r="D1893" s="137"/>
      <c r="E1893" s="137"/>
      <c r="F1893" s="137"/>
      <c r="G1893" s="137"/>
      <c r="H1893" s="137"/>
      <c r="I1893" s="137"/>
      <c r="J1893" s="137"/>
      <c r="K1893" s="137"/>
      <c r="L1893" s="137"/>
      <c r="M1893" s="137"/>
      <c r="N1893" s="137"/>
      <c r="O1893" s="137"/>
      <c r="P1893" s="137"/>
      <c r="Q1893" s="137"/>
      <c r="R1893" s="137"/>
      <c r="S1893" s="137"/>
      <c r="T1893" s="137"/>
      <c r="U1893" s="137"/>
      <c r="V1893" s="137"/>
      <c r="W1893" s="137"/>
    </row>
    <row r="1894" spans="1:23" x14ac:dyDescent="0.25">
      <c r="A1894" s="137"/>
      <c r="B1894" s="137"/>
      <c r="C1894" s="137"/>
      <c r="D1894" s="137"/>
      <c r="E1894" s="137"/>
      <c r="F1894" s="137"/>
      <c r="G1894" s="137"/>
      <c r="H1894" s="137"/>
      <c r="I1894" s="137"/>
      <c r="J1894" s="137"/>
      <c r="K1894" s="137"/>
      <c r="L1894" s="137"/>
      <c r="M1894" s="137"/>
      <c r="N1894" s="137"/>
      <c r="O1894" s="137"/>
      <c r="P1894" s="137"/>
      <c r="Q1894" s="137"/>
      <c r="R1894" s="137"/>
      <c r="S1894" s="137"/>
      <c r="T1894" s="137"/>
      <c r="U1894" s="137"/>
      <c r="V1894" s="137"/>
      <c r="W1894" s="137"/>
    </row>
    <row r="1895" spans="1:23" x14ac:dyDescent="0.25">
      <c r="A1895" s="137"/>
      <c r="B1895" s="137"/>
      <c r="C1895" s="137"/>
      <c r="D1895" s="137"/>
      <c r="E1895" s="137"/>
      <c r="F1895" s="137"/>
      <c r="G1895" s="137"/>
      <c r="H1895" s="137"/>
      <c r="I1895" s="137"/>
      <c r="J1895" s="137"/>
      <c r="K1895" s="137"/>
      <c r="L1895" s="137"/>
      <c r="M1895" s="137"/>
      <c r="N1895" s="137"/>
      <c r="O1895" s="137"/>
      <c r="P1895" s="137"/>
      <c r="Q1895" s="137"/>
      <c r="R1895" s="137"/>
      <c r="S1895" s="137"/>
      <c r="T1895" s="137"/>
      <c r="U1895" s="137"/>
      <c r="V1895" s="137"/>
      <c r="W1895" s="137"/>
    </row>
    <row r="1896" spans="1:23" x14ac:dyDescent="0.25">
      <c r="A1896" s="137"/>
      <c r="B1896" s="137"/>
      <c r="C1896" s="137"/>
      <c r="D1896" s="137"/>
      <c r="E1896" s="137"/>
      <c r="F1896" s="137"/>
      <c r="G1896" s="137"/>
      <c r="H1896" s="137"/>
      <c r="I1896" s="137"/>
      <c r="J1896" s="137"/>
      <c r="K1896" s="137"/>
      <c r="L1896" s="137"/>
      <c r="M1896" s="137"/>
      <c r="N1896" s="137"/>
      <c r="O1896" s="137"/>
      <c r="P1896" s="137"/>
      <c r="Q1896" s="137"/>
      <c r="R1896" s="137"/>
      <c r="S1896" s="137"/>
      <c r="T1896" s="137"/>
      <c r="U1896" s="137"/>
      <c r="V1896" s="137"/>
      <c r="W1896" s="137"/>
    </row>
    <row r="1897" spans="1:23" x14ac:dyDescent="0.25">
      <c r="A1897" s="137"/>
      <c r="B1897" s="137"/>
      <c r="C1897" s="137"/>
      <c r="D1897" s="137"/>
      <c r="E1897" s="137"/>
      <c r="F1897" s="137"/>
      <c r="G1897" s="137"/>
      <c r="H1897" s="137"/>
      <c r="I1897" s="137"/>
      <c r="J1897" s="137"/>
      <c r="K1897" s="137"/>
      <c r="L1897" s="137"/>
      <c r="M1897" s="137"/>
      <c r="N1897" s="137"/>
      <c r="O1897" s="137"/>
      <c r="P1897" s="137"/>
      <c r="Q1897" s="137"/>
      <c r="R1897" s="137"/>
      <c r="S1897" s="137"/>
      <c r="T1897" s="137"/>
      <c r="U1897" s="137"/>
      <c r="V1897" s="137"/>
      <c r="W1897" s="137"/>
    </row>
    <row r="1898" spans="1:23" x14ac:dyDescent="0.25">
      <c r="A1898" s="137"/>
      <c r="B1898" s="137"/>
      <c r="C1898" s="137"/>
      <c r="D1898" s="137"/>
      <c r="E1898" s="137"/>
      <c r="F1898" s="137"/>
      <c r="G1898" s="137"/>
      <c r="H1898" s="137"/>
      <c r="I1898" s="137"/>
      <c r="J1898" s="137"/>
      <c r="K1898" s="137"/>
      <c r="L1898" s="137"/>
      <c r="M1898" s="137"/>
      <c r="N1898" s="137"/>
      <c r="O1898" s="137"/>
      <c r="P1898" s="137"/>
      <c r="Q1898" s="137"/>
      <c r="R1898" s="137"/>
      <c r="S1898" s="137"/>
      <c r="T1898" s="137"/>
      <c r="U1898" s="137"/>
      <c r="V1898" s="137"/>
      <c r="W1898" s="137"/>
    </row>
    <row r="1899" spans="1:23" x14ac:dyDescent="0.25">
      <c r="A1899" s="137"/>
      <c r="B1899" s="137"/>
      <c r="C1899" s="137"/>
      <c r="D1899" s="137"/>
      <c r="E1899" s="137"/>
      <c r="F1899" s="137"/>
      <c r="G1899" s="137"/>
      <c r="H1899" s="137"/>
      <c r="I1899" s="137"/>
      <c r="J1899" s="137"/>
      <c r="K1899" s="137"/>
      <c r="L1899" s="137"/>
      <c r="M1899" s="137"/>
      <c r="N1899" s="137"/>
      <c r="O1899" s="137"/>
      <c r="P1899" s="137"/>
      <c r="Q1899" s="137"/>
      <c r="R1899" s="137"/>
      <c r="S1899" s="137"/>
      <c r="T1899" s="137"/>
      <c r="U1899" s="137"/>
      <c r="V1899" s="137"/>
      <c r="W1899" s="137"/>
    </row>
    <row r="1900" spans="1:23" x14ac:dyDescent="0.25">
      <c r="A1900" s="137"/>
      <c r="B1900" s="137"/>
      <c r="C1900" s="137"/>
      <c r="D1900" s="137"/>
      <c r="E1900" s="137"/>
      <c r="F1900" s="137"/>
      <c r="G1900" s="137"/>
      <c r="H1900" s="137"/>
      <c r="I1900" s="137"/>
      <c r="J1900" s="137"/>
      <c r="K1900" s="137"/>
      <c r="L1900" s="137"/>
      <c r="M1900" s="137"/>
      <c r="N1900" s="137"/>
      <c r="O1900" s="137"/>
      <c r="P1900" s="137"/>
      <c r="Q1900" s="137"/>
      <c r="R1900" s="137"/>
      <c r="S1900" s="137"/>
      <c r="T1900" s="137"/>
      <c r="U1900" s="137"/>
      <c r="V1900" s="137"/>
      <c r="W1900" s="137"/>
    </row>
    <row r="1901" spans="1:23" x14ac:dyDescent="0.25">
      <c r="A1901" s="137"/>
      <c r="B1901" s="137"/>
      <c r="C1901" s="137"/>
      <c r="D1901" s="137"/>
      <c r="E1901" s="137"/>
      <c r="F1901" s="137"/>
      <c r="G1901" s="137"/>
      <c r="H1901" s="137"/>
      <c r="I1901" s="137"/>
      <c r="J1901" s="137"/>
      <c r="K1901" s="137"/>
      <c r="L1901" s="137"/>
      <c r="M1901" s="137"/>
      <c r="N1901" s="137"/>
      <c r="O1901" s="137"/>
      <c r="P1901" s="137"/>
      <c r="Q1901" s="137"/>
      <c r="R1901" s="137"/>
      <c r="S1901" s="137"/>
      <c r="T1901" s="137"/>
      <c r="U1901" s="137"/>
      <c r="V1901" s="137"/>
      <c r="W1901" s="137"/>
    </row>
    <row r="1902" spans="1:23" x14ac:dyDescent="0.25">
      <c r="A1902" s="137"/>
      <c r="B1902" s="137"/>
      <c r="C1902" s="137"/>
      <c r="D1902" s="137"/>
      <c r="E1902" s="137"/>
      <c r="F1902" s="137"/>
      <c r="G1902" s="137"/>
      <c r="H1902" s="137"/>
      <c r="I1902" s="137"/>
      <c r="J1902" s="137"/>
      <c r="K1902" s="137"/>
      <c r="L1902" s="137"/>
      <c r="M1902" s="137"/>
      <c r="N1902" s="137"/>
      <c r="O1902" s="137"/>
      <c r="P1902" s="137"/>
      <c r="Q1902" s="137"/>
      <c r="R1902" s="137"/>
      <c r="S1902" s="137"/>
      <c r="T1902" s="137"/>
      <c r="U1902" s="137"/>
      <c r="V1902" s="137"/>
      <c r="W1902" s="137"/>
    </row>
    <row r="1903" spans="1:23" x14ac:dyDescent="0.25">
      <c r="A1903" s="137"/>
      <c r="B1903" s="137"/>
      <c r="C1903" s="137"/>
      <c r="D1903" s="137"/>
      <c r="E1903" s="137"/>
      <c r="F1903" s="137"/>
      <c r="G1903" s="137"/>
      <c r="H1903" s="137"/>
      <c r="I1903" s="137"/>
      <c r="J1903" s="137"/>
      <c r="K1903" s="137"/>
      <c r="L1903" s="137"/>
      <c r="M1903" s="137"/>
      <c r="N1903" s="137"/>
      <c r="O1903" s="137"/>
      <c r="P1903" s="137"/>
      <c r="Q1903" s="137"/>
      <c r="R1903" s="137"/>
      <c r="S1903" s="137"/>
      <c r="T1903" s="137"/>
      <c r="U1903" s="137"/>
      <c r="V1903" s="137"/>
      <c r="W1903" s="137"/>
    </row>
    <row r="1904" spans="1:23" x14ac:dyDescent="0.25">
      <c r="A1904" s="137"/>
      <c r="B1904" s="137"/>
      <c r="C1904" s="137"/>
      <c r="D1904" s="137"/>
      <c r="E1904" s="137"/>
      <c r="F1904" s="137"/>
      <c r="G1904" s="137"/>
      <c r="H1904" s="137"/>
      <c r="I1904" s="137"/>
      <c r="J1904" s="137"/>
      <c r="K1904" s="137"/>
      <c r="L1904" s="137"/>
      <c r="M1904" s="137"/>
      <c r="N1904" s="137"/>
      <c r="O1904" s="137"/>
      <c r="P1904" s="137"/>
      <c r="Q1904" s="137"/>
      <c r="R1904" s="137"/>
      <c r="S1904" s="137"/>
      <c r="T1904" s="137"/>
      <c r="U1904" s="137"/>
      <c r="V1904" s="137"/>
      <c r="W1904" s="137"/>
    </row>
    <row r="1905" spans="1:23" x14ac:dyDescent="0.25">
      <c r="A1905" s="137"/>
      <c r="B1905" s="137"/>
      <c r="C1905" s="137"/>
      <c r="D1905" s="137"/>
      <c r="E1905" s="137"/>
      <c r="F1905" s="137"/>
      <c r="G1905" s="137"/>
      <c r="H1905" s="137"/>
      <c r="I1905" s="137"/>
      <c r="J1905" s="137"/>
      <c r="K1905" s="137"/>
      <c r="L1905" s="137"/>
      <c r="M1905" s="137"/>
      <c r="N1905" s="137"/>
      <c r="O1905" s="137"/>
      <c r="P1905" s="137"/>
      <c r="Q1905" s="137"/>
      <c r="R1905" s="137"/>
      <c r="S1905" s="137"/>
      <c r="T1905" s="137"/>
      <c r="U1905" s="137"/>
      <c r="V1905" s="137"/>
      <c r="W1905" s="137"/>
    </row>
    <row r="1906" spans="1:23" x14ac:dyDescent="0.25">
      <c r="A1906" s="137"/>
      <c r="B1906" s="137"/>
      <c r="C1906" s="137"/>
      <c r="D1906" s="137"/>
      <c r="E1906" s="137"/>
      <c r="F1906" s="137"/>
      <c r="G1906" s="137"/>
      <c r="H1906" s="137"/>
      <c r="I1906" s="137"/>
      <c r="J1906" s="137"/>
      <c r="K1906" s="137"/>
      <c r="L1906" s="137"/>
      <c r="M1906" s="137"/>
      <c r="N1906" s="137"/>
      <c r="O1906" s="137"/>
      <c r="P1906" s="137"/>
      <c r="Q1906" s="137"/>
      <c r="R1906" s="137"/>
      <c r="S1906" s="137"/>
      <c r="T1906" s="137"/>
      <c r="U1906" s="137"/>
      <c r="V1906" s="137"/>
      <c r="W1906" s="137"/>
    </row>
    <row r="1907" spans="1:23" x14ac:dyDescent="0.25">
      <c r="A1907" s="137"/>
      <c r="B1907" s="137"/>
      <c r="C1907" s="137"/>
      <c r="D1907" s="137"/>
      <c r="E1907" s="137"/>
      <c r="F1907" s="137"/>
      <c r="G1907" s="137"/>
      <c r="H1907" s="137"/>
      <c r="I1907" s="137"/>
      <c r="J1907" s="137"/>
      <c r="K1907" s="137"/>
      <c r="L1907" s="137"/>
      <c r="M1907" s="137"/>
      <c r="N1907" s="137"/>
      <c r="O1907" s="137"/>
      <c r="P1907" s="137"/>
      <c r="Q1907" s="137"/>
      <c r="R1907" s="137"/>
      <c r="S1907" s="137"/>
      <c r="T1907" s="137"/>
      <c r="U1907" s="137"/>
      <c r="V1907" s="137"/>
      <c r="W1907" s="137"/>
    </row>
    <row r="1908" spans="1:23" x14ac:dyDescent="0.25">
      <c r="A1908" s="137"/>
      <c r="B1908" s="137"/>
      <c r="C1908" s="137"/>
      <c r="D1908" s="137"/>
      <c r="E1908" s="137"/>
      <c r="F1908" s="137"/>
      <c r="G1908" s="137"/>
      <c r="H1908" s="137"/>
      <c r="I1908" s="137"/>
      <c r="J1908" s="137"/>
      <c r="K1908" s="137"/>
      <c r="L1908" s="137"/>
      <c r="M1908" s="137"/>
      <c r="N1908" s="137"/>
      <c r="O1908" s="137"/>
      <c r="P1908" s="137"/>
      <c r="Q1908" s="137"/>
      <c r="R1908" s="137"/>
      <c r="S1908" s="137"/>
      <c r="T1908" s="137"/>
      <c r="U1908" s="137"/>
      <c r="V1908" s="137"/>
      <c r="W1908" s="137"/>
    </row>
    <row r="1909" spans="1:23" x14ac:dyDescent="0.25">
      <c r="A1909" s="137"/>
      <c r="B1909" s="137"/>
      <c r="C1909" s="137"/>
      <c r="D1909" s="137"/>
      <c r="E1909" s="137"/>
      <c r="F1909" s="137"/>
      <c r="G1909" s="137"/>
      <c r="H1909" s="137"/>
      <c r="I1909" s="137"/>
      <c r="J1909" s="137"/>
      <c r="K1909" s="137"/>
      <c r="L1909" s="137"/>
      <c r="M1909" s="137"/>
      <c r="N1909" s="137"/>
      <c r="O1909" s="137"/>
      <c r="P1909" s="137"/>
      <c r="Q1909" s="137"/>
      <c r="R1909" s="137"/>
      <c r="S1909" s="137"/>
      <c r="T1909" s="137"/>
      <c r="U1909" s="137"/>
      <c r="V1909" s="137"/>
      <c r="W1909" s="137"/>
    </row>
    <row r="1910" spans="1:23" x14ac:dyDescent="0.25">
      <c r="A1910" s="137"/>
      <c r="B1910" s="137"/>
      <c r="C1910" s="137"/>
      <c r="D1910" s="137"/>
      <c r="E1910" s="137"/>
      <c r="F1910" s="137"/>
      <c r="G1910" s="137"/>
      <c r="H1910" s="137"/>
      <c r="I1910" s="137"/>
      <c r="J1910" s="137"/>
      <c r="K1910" s="137"/>
      <c r="L1910" s="137"/>
      <c r="M1910" s="137"/>
      <c r="N1910" s="137"/>
      <c r="O1910" s="137"/>
      <c r="P1910" s="137"/>
      <c r="Q1910" s="137"/>
      <c r="R1910" s="137"/>
      <c r="S1910" s="137"/>
      <c r="T1910" s="137"/>
      <c r="U1910" s="137"/>
      <c r="V1910" s="137"/>
      <c r="W1910" s="137"/>
    </row>
    <row r="1911" spans="1:23" x14ac:dyDescent="0.25">
      <c r="A1911" s="137"/>
      <c r="B1911" s="137"/>
      <c r="C1911" s="137"/>
      <c r="D1911" s="137"/>
      <c r="E1911" s="137"/>
      <c r="F1911" s="137"/>
      <c r="G1911" s="137"/>
      <c r="H1911" s="137"/>
      <c r="I1911" s="137"/>
      <c r="J1911" s="137"/>
      <c r="K1911" s="137"/>
      <c r="L1911" s="137"/>
      <c r="M1911" s="137"/>
      <c r="N1911" s="137"/>
      <c r="O1911" s="137"/>
      <c r="P1911" s="137"/>
      <c r="Q1911" s="137"/>
      <c r="R1911" s="137"/>
      <c r="S1911" s="137"/>
      <c r="T1911" s="137"/>
      <c r="U1911" s="137"/>
      <c r="V1911" s="137"/>
      <c r="W1911" s="137"/>
    </row>
    <row r="1912" spans="1:23" x14ac:dyDescent="0.25">
      <c r="A1912" s="137"/>
      <c r="B1912" s="137"/>
      <c r="C1912" s="137"/>
      <c r="D1912" s="137"/>
      <c r="E1912" s="137"/>
      <c r="F1912" s="137"/>
      <c r="G1912" s="137"/>
      <c r="H1912" s="137"/>
      <c r="I1912" s="137"/>
      <c r="J1912" s="137"/>
      <c r="K1912" s="137"/>
      <c r="L1912" s="137"/>
      <c r="M1912" s="137"/>
      <c r="N1912" s="137"/>
      <c r="O1912" s="137"/>
      <c r="P1912" s="137"/>
      <c r="Q1912" s="137"/>
      <c r="R1912" s="137"/>
      <c r="S1912" s="137"/>
      <c r="T1912" s="137"/>
      <c r="U1912" s="137"/>
      <c r="V1912" s="137"/>
      <c r="W1912" s="137"/>
    </row>
    <row r="1913" spans="1:23" x14ac:dyDescent="0.25">
      <c r="A1913" s="137"/>
      <c r="B1913" s="137"/>
      <c r="C1913" s="137"/>
      <c r="D1913" s="137"/>
      <c r="E1913" s="137"/>
      <c r="F1913" s="137"/>
      <c r="G1913" s="137"/>
      <c r="H1913" s="137"/>
      <c r="I1913" s="137"/>
      <c r="J1913" s="137"/>
      <c r="K1913" s="137"/>
      <c r="L1913" s="137"/>
      <c r="M1913" s="137"/>
      <c r="N1913" s="137"/>
      <c r="O1913" s="137"/>
      <c r="P1913" s="137"/>
      <c r="Q1913" s="137"/>
      <c r="R1913" s="137"/>
      <c r="S1913" s="137"/>
      <c r="T1913" s="137"/>
      <c r="U1913" s="137"/>
      <c r="V1913" s="137"/>
      <c r="W1913" s="137"/>
    </row>
    <row r="1914" spans="1:23" x14ac:dyDescent="0.25">
      <c r="A1914" s="137"/>
      <c r="B1914" s="137"/>
      <c r="C1914" s="137"/>
      <c r="D1914" s="137"/>
      <c r="E1914" s="137"/>
      <c r="F1914" s="137"/>
      <c r="G1914" s="137"/>
      <c r="H1914" s="137"/>
      <c r="I1914" s="137"/>
      <c r="J1914" s="137"/>
      <c r="K1914" s="137"/>
      <c r="L1914" s="137"/>
      <c r="M1914" s="137"/>
      <c r="N1914" s="137"/>
      <c r="O1914" s="137"/>
      <c r="P1914" s="137"/>
      <c r="Q1914" s="137"/>
      <c r="R1914" s="137"/>
      <c r="S1914" s="137"/>
      <c r="T1914" s="137"/>
      <c r="U1914" s="137"/>
      <c r="V1914" s="137"/>
      <c r="W1914" s="137"/>
    </row>
    <row r="1915" spans="1:23" x14ac:dyDescent="0.25">
      <c r="A1915" s="137"/>
      <c r="B1915" s="137"/>
      <c r="C1915" s="137"/>
      <c r="D1915" s="137"/>
      <c r="E1915" s="137"/>
      <c r="F1915" s="137"/>
      <c r="G1915" s="137"/>
      <c r="H1915" s="137"/>
      <c r="I1915" s="137"/>
      <c r="J1915" s="137"/>
      <c r="K1915" s="137"/>
      <c r="L1915" s="137"/>
      <c r="M1915" s="137"/>
      <c r="N1915" s="137"/>
      <c r="O1915" s="137"/>
      <c r="P1915" s="137"/>
      <c r="Q1915" s="137"/>
      <c r="R1915" s="137"/>
      <c r="S1915" s="137"/>
      <c r="T1915" s="137"/>
      <c r="U1915" s="137"/>
      <c r="V1915" s="137"/>
      <c r="W1915" s="137"/>
    </row>
    <row r="1916" spans="1:23" x14ac:dyDescent="0.25">
      <c r="A1916" s="137"/>
      <c r="B1916" s="137"/>
      <c r="C1916" s="137"/>
      <c r="D1916" s="137"/>
      <c r="E1916" s="137"/>
      <c r="F1916" s="137"/>
      <c r="G1916" s="137"/>
      <c r="H1916" s="137"/>
      <c r="I1916" s="137"/>
      <c r="J1916" s="137"/>
      <c r="K1916" s="137"/>
      <c r="L1916" s="137"/>
      <c r="M1916" s="137"/>
      <c r="N1916" s="137"/>
      <c r="O1916" s="137"/>
      <c r="P1916" s="137"/>
      <c r="Q1916" s="137"/>
      <c r="R1916" s="137"/>
      <c r="S1916" s="137"/>
      <c r="T1916" s="137"/>
      <c r="U1916" s="137"/>
      <c r="V1916" s="137"/>
      <c r="W1916" s="137"/>
    </row>
    <row r="1917" spans="1:23" x14ac:dyDescent="0.25">
      <c r="A1917" s="137"/>
      <c r="B1917" s="137"/>
      <c r="C1917" s="137"/>
      <c r="D1917" s="137"/>
      <c r="E1917" s="137"/>
      <c r="F1917" s="137"/>
      <c r="G1917" s="137"/>
      <c r="H1917" s="137"/>
      <c r="I1917" s="137"/>
      <c r="J1917" s="137"/>
      <c r="K1917" s="137"/>
      <c r="L1917" s="137"/>
      <c r="M1917" s="137"/>
      <c r="N1917" s="137"/>
      <c r="O1917" s="137"/>
      <c r="P1917" s="137"/>
      <c r="Q1917" s="137"/>
      <c r="R1917" s="137"/>
      <c r="S1917" s="137"/>
      <c r="T1917" s="137"/>
      <c r="U1917" s="137"/>
      <c r="V1917" s="137"/>
      <c r="W1917" s="137"/>
    </row>
    <row r="1918" spans="1:23" x14ac:dyDescent="0.25">
      <c r="A1918" s="137"/>
      <c r="B1918" s="137"/>
      <c r="C1918" s="137"/>
      <c r="D1918" s="137"/>
      <c r="E1918" s="137"/>
      <c r="F1918" s="137"/>
      <c r="G1918" s="137"/>
      <c r="H1918" s="137"/>
      <c r="I1918" s="137"/>
      <c r="J1918" s="137"/>
      <c r="K1918" s="137"/>
      <c r="L1918" s="137"/>
      <c r="M1918" s="137"/>
      <c r="N1918" s="137"/>
      <c r="O1918" s="137"/>
      <c r="P1918" s="137"/>
      <c r="Q1918" s="137"/>
      <c r="R1918" s="137"/>
      <c r="S1918" s="137"/>
      <c r="T1918" s="137"/>
      <c r="U1918" s="137"/>
      <c r="V1918" s="137"/>
      <c r="W1918" s="137"/>
    </row>
    <row r="1919" spans="1:23" x14ac:dyDescent="0.25">
      <c r="A1919" s="137"/>
      <c r="B1919" s="137"/>
      <c r="C1919" s="137"/>
      <c r="D1919" s="137"/>
      <c r="E1919" s="137"/>
      <c r="F1919" s="137"/>
      <c r="G1919" s="137"/>
      <c r="H1919" s="137"/>
      <c r="I1919" s="137"/>
      <c r="J1919" s="137"/>
      <c r="K1919" s="137"/>
      <c r="L1919" s="137"/>
      <c r="M1919" s="137"/>
      <c r="N1919" s="137"/>
      <c r="O1919" s="137"/>
      <c r="P1919" s="137"/>
      <c r="Q1919" s="137"/>
      <c r="R1919" s="137"/>
      <c r="S1919" s="137"/>
      <c r="T1919" s="137"/>
      <c r="U1919" s="137"/>
      <c r="V1919" s="137"/>
      <c r="W1919" s="137"/>
    </row>
    <row r="1920" spans="1:23" x14ac:dyDescent="0.25">
      <c r="A1920" s="137"/>
      <c r="B1920" s="137"/>
      <c r="C1920" s="137"/>
      <c r="D1920" s="137"/>
      <c r="E1920" s="137"/>
      <c r="F1920" s="137"/>
      <c r="G1920" s="137"/>
      <c r="H1920" s="137"/>
      <c r="I1920" s="137"/>
      <c r="J1920" s="137"/>
      <c r="K1920" s="137"/>
      <c r="L1920" s="137"/>
      <c r="M1920" s="137"/>
      <c r="N1920" s="137"/>
      <c r="O1920" s="137"/>
      <c r="P1920" s="137"/>
      <c r="Q1920" s="137"/>
      <c r="R1920" s="137"/>
      <c r="S1920" s="137"/>
      <c r="T1920" s="137"/>
      <c r="U1920" s="137"/>
      <c r="V1920" s="137"/>
      <c r="W1920" s="137"/>
    </row>
    <row r="1921" spans="1:23" x14ac:dyDescent="0.25">
      <c r="A1921" s="137"/>
      <c r="B1921" s="137"/>
      <c r="C1921" s="137"/>
      <c r="D1921" s="137"/>
      <c r="E1921" s="137"/>
      <c r="F1921" s="137"/>
      <c r="G1921" s="137"/>
      <c r="H1921" s="137"/>
      <c r="I1921" s="137"/>
      <c r="J1921" s="137"/>
      <c r="K1921" s="137"/>
      <c r="L1921" s="137"/>
      <c r="M1921" s="137"/>
      <c r="N1921" s="137"/>
      <c r="O1921" s="137"/>
      <c r="P1921" s="137"/>
      <c r="Q1921" s="137"/>
      <c r="R1921" s="137"/>
      <c r="S1921" s="137"/>
      <c r="T1921" s="137"/>
      <c r="U1921" s="137"/>
      <c r="V1921" s="137"/>
      <c r="W1921" s="137"/>
    </row>
    <row r="1922" spans="1:23" x14ac:dyDescent="0.25">
      <c r="A1922" s="137"/>
      <c r="B1922" s="137"/>
      <c r="C1922" s="137"/>
      <c r="D1922" s="137"/>
      <c r="E1922" s="137"/>
      <c r="F1922" s="137"/>
      <c r="G1922" s="137"/>
      <c r="H1922" s="137"/>
      <c r="I1922" s="137"/>
      <c r="J1922" s="137"/>
      <c r="K1922" s="137"/>
      <c r="L1922" s="137"/>
      <c r="M1922" s="137"/>
      <c r="N1922" s="137"/>
      <c r="O1922" s="137"/>
      <c r="P1922" s="137"/>
      <c r="Q1922" s="137"/>
      <c r="R1922" s="137"/>
      <c r="S1922" s="137"/>
      <c r="T1922" s="137"/>
      <c r="U1922" s="137"/>
      <c r="V1922" s="137"/>
      <c r="W1922" s="137"/>
    </row>
    <row r="1923" spans="1:23" x14ac:dyDescent="0.25">
      <c r="A1923" s="137"/>
      <c r="B1923" s="137"/>
      <c r="C1923" s="137"/>
      <c r="D1923" s="137"/>
      <c r="E1923" s="137"/>
      <c r="F1923" s="137"/>
      <c r="G1923" s="137"/>
      <c r="H1923" s="137"/>
      <c r="I1923" s="137"/>
      <c r="J1923" s="137"/>
      <c r="K1923" s="137"/>
      <c r="L1923" s="137"/>
      <c r="M1923" s="137"/>
      <c r="N1923" s="137"/>
      <c r="O1923" s="137"/>
      <c r="P1923" s="137"/>
      <c r="Q1923" s="137"/>
      <c r="R1923" s="137"/>
      <c r="S1923" s="137"/>
      <c r="T1923" s="137"/>
      <c r="U1923" s="137"/>
      <c r="V1923" s="137"/>
      <c r="W1923" s="137"/>
    </row>
    <row r="1924" spans="1:23" x14ac:dyDescent="0.25">
      <c r="A1924" s="137"/>
      <c r="B1924" s="137"/>
      <c r="C1924" s="137"/>
      <c r="D1924" s="137"/>
      <c r="E1924" s="137"/>
      <c r="F1924" s="137"/>
      <c r="G1924" s="137"/>
      <c r="H1924" s="137"/>
      <c r="I1924" s="137"/>
      <c r="J1924" s="137"/>
      <c r="K1924" s="137"/>
      <c r="L1924" s="137"/>
      <c r="M1924" s="137"/>
      <c r="N1924" s="137"/>
      <c r="O1924" s="137"/>
      <c r="P1924" s="137"/>
      <c r="Q1924" s="137"/>
      <c r="R1924" s="137"/>
      <c r="S1924" s="137"/>
      <c r="T1924" s="137"/>
      <c r="U1924" s="137"/>
      <c r="V1924" s="137"/>
      <c r="W1924" s="137"/>
    </row>
    <row r="1925" spans="1:23" x14ac:dyDescent="0.25">
      <c r="A1925" s="137"/>
      <c r="B1925" s="137"/>
      <c r="C1925" s="137"/>
      <c r="D1925" s="137"/>
      <c r="E1925" s="137"/>
      <c r="F1925" s="137"/>
      <c r="G1925" s="137"/>
      <c r="H1925" s="137"/>
      <c r="I1925" s="137"/>
      <c r="J1925" s="137"/>
      <c r="K1925" s="137"/>
      <c r="L1925" s="137"/>
      <c r="M1925" s="137"/>
      <c r="N1925" s="137"/>
      <c r="O1925" s="137"/>
      <c r="P1925" s="137"/>
      <c r="Q1925" s="137"/>
      <c r="R1925" s="137"/>
      <c r="S1925" s="137"/>
      <c r="T1925" s="137"/>
      <c r="U1925" s="137"/>
      <c r="V1925" s="137"/>
      <c r="W1925" s="137"/>
    </row>
    <row r="1926" spans="1:23" x14ac:dyDescent="0.25">
      <c r="A1926" s="137"/>
      <c r="B1926" s="137"/>
      <c r="C1926" s="137"/>
      <c r="D1926" s="137"/>
      <c r="E1926" s="137"/>
      <c r="F1926" s="137"/>
      <c r="G1926" s="137"/>
      <c r="H1926" s="137"/>
      <c r="I1926" s="137"/>
      <c r="J1926" s="137"/>
      <c r="K1926" s="137"/>
      <c r="L1926" s="137"/>
      <c r="M1926" s="137"/>
      <c r="N1926" s="137"/>
      <c r="O1926" s="137"/>
      <c r="P1926" s="137"/>
      <c r="Q1926" s="137"/>
      <c r="R1926" s="137"/>
      <c r="S1926" s="137"/>
      <c r="T1926" s="137"/>
      <c r="U1926" s="137"/>
      <c r="V1926" s="137"/>
      <c r="W1926" s="137"/>
    </row>
    <row r="1927" spans="1:23" x14ac:dyDescent="0.25">
      <c r="A1927" s="137"/>
      <c r="B1927" s="137"/>
      <c r="C1927" s="137"/>
      <c r="D1927" s="137"/>
      <c r="E1927" s="137"/>
      <c r="F1927" s="137"/>
      <c r="G1927" s="137"/>
      <c r="H1927" s="137"/>
      <c r="I1927" s="137"/>
      <c r="J1927" s="137"/>
      <c r="K1927" s="137"/>
      <c r="L1927" s="137"/>
      <c r="M1927" s="137"/>
      <c r="N1927" s="137"/>
      <c r="O1927" s="137"/>
      <c r="P1927" s="137"/>
      <c r="Q1927" s="137"/>
      <c r="R1927" s="137"/>
      <c r="S1927" s="137"/>
      <c r="T1927" s="137"/>
      <c r="U1927" s="137"/>
      <c r="V1927" s="137"/>
      <c r="W1927" s="137"/>
    </row>
    <row r="1928" spans="1:23" x14ac:dyDescent="0.25">
      <c r="A1928" s="137"/>
      <c r="B1928" s="137"/>
      <c r="C1928" s="137"/>
      <c r="D1928" s="137"/>
      <c r="E1928" s="137"/>
      <c r="F1928" s="137"/>
      <c r="G1928" s="137"/>
      <c r="H1928" s="137"/>
      <c r="I1928" s="137"/>
      <c r="J1928" s="137"/>
      <c r="K1928" s="137"/>
      <c r="L1928" s="137"/>
      <c r="M1928" s="137"/>
      <c r="N1928" s="137"/>
      <c r="O1928" s="137"/>
      <c r="P1928" s="137"/>
      <c r="Q1928" s="137"/>
      <c r="R1928" s="137"/>
      <c r="S1928" s="137"/>
      <c r="T1928" s="137"/>
      <c r="U1928" s="137"/>
      <c r="V1928" s="137"/>
      <c r="W1928" s="137"/>
    </row>
    <row r="1929" spans="1:23" x14ac:dyDescent="0.25">
      <c r="A1929" s="137"/>
      <c r="B1929" s="137"/>
      <c r="C1929" s="137"/>
      <c r="D1929" s="137"/>
      <c r="E1929" s="137"/>
      <c r="F1929" s="137"/>
      <c r="G1929" s="137"/>
      <c r="H1929" s="137"/>
      <c r="I1929" s="137"/>
      <c r="J1929" s="137"/>
      <c r="K1929" s="137"/>
      <c r="L1929" s="137"/>
      <c r="M1929" s="137"/>
      <c r="N1929" s="137"/>
      <c r="O1929" s="137"/>
      <c r="P1929" s="137"/>
      <c r="Q1929" s="137"/>
      <c r="R1929" s="137"/>
      <c r="S1929" s="137"/>
      <c r="T1929" s="137"/>
      <c r="U1929" s="137"/>
      <c r="V1929" s="137"/>
      <c r="W1929" s="137"/>
    </row>
    <row r="1930" spans="1:23" x14ac:dyDescent="0.25">
      <c r="A1930" s="137"/>
      <c r="B1930" s="137"/>
      <c r="C1930" s="137"/>
      <c r="D1930" s="137"/>
      <c r="E1930" s="137"/>
      <c r="F1930" s="137"/>
      <c r="G1930" s="137"/>
      <c r="H1930" s="137"/>
      <c r="I1930" s="137"/>
      <c r="J1930" s="137"/>
      <c r="K1930" s="137"/>
      <c r="L1930" s="137"/>
      <c r="M1930" s="137"/>
      <c r="N1930" s="137"/>
      <c r="O1930" s="137"/>
      <c r="P1930" s="137"/>
      <c r="Q1930" s="137"/>
      <c r="R1930" s="137"/>
      <c r="S1930" s="137"/>
      <c r="T1930" s="137"/>
      <c r="U1930" s="137"/>
      <c r="V1930" s="137"/>
      <c r="W1930" s="137"/>
    </row>
    <row r="1931" spans="1:23" x14ac:dyDescent="0.25">
      <c r="A1931" s="137"/>
      <c r="B1931" s="137"/>
      <c r="C1931" s="137"/>
      <c r="D1931" s="137"/>
      <c r="E1931" s="137"/>
      <c r="F1931" s="137"/>
      <c r="G1931" s="137"/>
      <c r="H1931" s="137"/>
      <c r="I1931" s="137"/>
      <c r="J1931" s="137"/>
      <c r="K1931" s="137"/>
      <c r="L1931" s="137"/>
      <c r="M1931" s="137"/>
      <c r="N1931" s="137"/>
      <c r="O1931" s="137"/>
      <c r="P1931" s="137"/>
      <c r="Q1931" s="137"/>
      <c r="R1931" s="137"/>
      <c r="S1931" s="137"/>
      <c r="T1931" s="137"/>
      <c r="U1931" s="137"/>
      <c r="V1931" s="137"/>
      <c r="W1931" s="137"/>
    </row>
    <row r="1932" spans="1:23" x14ac:dyDescent="0.25">
      <c r="A1932" s="137"/>
      <c r="B1932" s="137"/>
      <c r="C1932" s="137"/>
      <c r="D1932" s="137"/>
      <c r="E1932" s="137"/>
      <c r="F1932" s="137"/>
      <c r="G1932" s="137"/>
      <c r="H1932" s="137"/>
      <c r="I1932" s="137"/>
      <c r="J1932" s="137"/>
      <c r="K1932" s="137"/>
      <c r="L1932" s="137"/>
      <c r="M1932" s="137"/>
      <c r="N1932" s="137"/>
      <c r="O1932" s="137"/>
      <c r="P1932" s="137"/>
      <c r="Q1932" s="137"/>
      <c r="R1932" s="137"/>
      <c r="S1932" s="137"/>
      <c r="T1932" s="137"/>
      <c r="U1932" s="137"/>
      <c r="V1932" s="137"/>
      <c r="W1932" s="137"/>
    </row>
    <row r="1933" spans="1:23" x14ac:dyDescent="0.25">
      <c r="A1933" s="137"/>
      <c r="B1933" s="137"/>
      <c r="C1933" s="137"/>
      <c r="D1933" s="137"/>
      <c r="E1933" s="137"/>
      <c r="F1933" s="137"/>
      <c r="G1933" s="137"/>
      <c r="H1933" s="137"/>
      <c r="I1933" s="137"/>
      <c r="J1933" s="137"/>
      <c r="K1933" s="137"/>
      <c r="L1933" s="137"/>
      <c r="M1933" s="137"/>
      <c r="N1933" s="137"/>
      <c r="O1933" s="137"/>
      <c r="P1933" s="137"/>
      <c r="Q1933" s="137"/>
      <c r="R1933" s="137"/>
      <c r="S1933" s="137"/>
      <c r="T1933" s="137"/>
      <c r="U1933" s="137"/>
      <c r="V1933" s="137"/>
      <c r="W1933" s="137"/>
    </row>
    <row r="1934" spans="1:23" x14ac:dyDescent="0.25">
      <c r="A1934" s="137"/>
      <c r="B1934" s="137"/>
      <c r="C1934" s="137"/>
      <c r="D1934" s="137"/>
      <c r="E1934" s="137"/>
      <c r="F1934" s="137"/>
      <c r="G1934" s="137"/>
      <c r="H1934" s="137"/>
      <c r="I1934" s="137"/>
      <c r="J1934" s="137"/>
      <c r="K1934" s="137"/>
      <c r="L1934" s="137"/>
      <c r="M1934" s="137"/>
      <c r="N1934" s="137"/>
      <c r="O1934" s="137"/>
      <c r="P1934" s="137"/>
      <c r="Q1934" s="137"/>
      <c r="R1934" s="137"/>
      <c r="S1934" s="137"/>
      <c r="T1934" s="137"/>
      <c r="U1934" s="137"/>
      <c r="V1934" s="137"/>
      <c r="W1934" s="137"/>
    </row>
    <row r="1935" spans="1:23" x14ac:dyDescent="0.25">
      <c r="A1935" s="137"/>
      <c r="B1935" s="137"/>
      <c r="C1935" s="137"/>
      <c r="D1935" s="137"/>
      <c r="E1935" s="137"/>
      <c r="F1935" s="137"/>
      <c r="G1935" s="137"/>
      <c r="H1935" s="137"/>
      <c r="I1935" s="137"/>
      <c r="J1935" s="137"/>
      <c r="K1935" s="137"/>
      <c r="L1935" s="137"/>
      <c r="M1935" s="137"/>
      <c r="N1935" s="137"/>
      <c r="O1935" s="137"/>
      <c r="P1935" s="137"/>
      <c r="Q1935" s="137"/>
      <c r="R1935" s="137"/>
      <c r="S1935" s="137"/>
      <c r="T1935" s="137"/>
      <c r="U1935" s="137"/>
      <c r="V1935" s="137"/>
      <c r="W1935" s="137"/>
    </row>
    <row r="1936" spans="1:23" x14ac:dyDescent="0.25">
      <c r="A1936" s="137"/>
      <c r="B1936" s="137"/>
      <c r="C1936" s="137"/>
      <c r="D1936" s="137"/>
      <c r="E1936" s="137"/>
      <c r="F1936" s="137"/>
      <c r="G1936" s="137"/>
      <c r="H1936" s="137"/>
      <c r="I1936" s="137"/>
      <c r="J1936" s="137"/>
      <c r="K1936" s="137"/>
      <c r="L1936" s="137"/>
      <c r="M1936" s="137"/>
      <c r="N1936" s="137"/>
      <c r="O1936" s="137"/>
      <c r="P1936" s="137"/>
      <c r="Q1936" s="137"/>
      <c r="R1936" s="137"/>
      <c r="S1936" s="137"/>
      <c r="T1936" s="137"/>
      <c r="U1936" s="137"/>
      <c r="V1936" s="137"/>
      <c r="W1936" s="137"/>
    </row>
    <row r="1937" spans="1:23" x14ac:dyDescent="0.25">
      <c r="A1937" s="137"/>
      <c r="B1937" s="137"/>
      <c r="C1937" s="137"/>
      <c r="D1937" s="137"/>
      <c r="E1937" s="137"/>
      <c r="F1937" s="137"/>
      <c r="G1937" s="137"/>
      <c r="H1937" s="137"/>
      <c r="I1937" s="137"/>
      <c r="J1937" s="137"/>
      <c r="K1937" s="137"/>
      <c r="L1937" s="137"/>
      <c r="M1937" s="137"/>
      <c r="N1937" s="137"/>
      <c r="O1937" s="137"/>
      <c r="P1937" s="137"/>
      <c r="Q1937" s="137"/>
      <c r="R1937" s="137"/>
      <c r="S1937" s="137"/>
      <c r="T1937" s="137"/>
      <c r="U1937" s="137"/>
      <c r="V1937" s="137"/>
      <c r="W1937" s="137"/>
    </row>
    <row r="1938" spans="1:23" x14ac:dyDescent="0.25">
      <c r="A1938" s="137"/>
      <c r="B1938" s="137"/>
      <c r="C1938" s="137"/>
      <c r="D1938" s="137"/>
      <c r="E1938" s="137"/>
      <c r="F1938" s="137"/>
      <c r="G1938" s="137"/>
      <c r="H1938" s="137"/>
      <c r="I1938" s="137"/>
      <c r="J1938" s="137"/>
      <c r="K1938" s="137"/>
      <c r="L1938" s="137"/>
      <c r="M1938" s="137"/>
      <c r="N1938" s="137"/>
      <c r="O1938" s="137"/>
      <c r="P1938" s="137"/>
      <c r="Q1938" s="137"/>
      <c r="R1938" s="137"/>
      <c r="S1938" s="137"/>
      <c r="T1938" s="137"/>
      <c r="U1938" s="137"/>
      <c r="V1938" s="137"/>
      <c r="W1938" s="137"/>
    </row>
    <row r="1939" spans="1:23" x14ac:dyDescent="0.25">
      <c r="A1939" s="137"/>
      <c r="B1939" s="137"/>
      <c r="C1939" s="137"/>
      <c r="D1939" s="137"/>
      <c r="E1939" s="137"/>
      <c r="F1939" s="137"/>
      <c r="G1939" s="137"/>
      <c r="H1939" s="137"/>
      <c r="I1939" s="137"/>
      <c r="J1939" s="137"/>
      <c r="K1939" s="137"/>
      <c r="L1939" s="137"/>
      <c r="M1939" s="137"/>
      <c r="N1939" s="137"/>
      <c r="O1939" s="137"/>
      <c r="P1939" s="137"/>
      <c r="Q1939" s="137"/>
      <c r="R1939" s="137"/>
      <c r="S1939" s="137"/>
      <c r="T1939" s="137"/>
      <c r="U1939" s="137"/>
      <c r="V1939" s="137"/>
      <c r="W1939" s="137"/>
    </row>
    <row r="1940" spans="1:23" x14ac:dyDescent="0.25">
      <c r="A1940" s="137"/>
      <c r="B1940" s="137"/>
      <c r="C1940" s="137"/>
      <c r="D1940" s="137"/>
      <c r="E1940" s="137"/>
      <c r="F1940" s="137"/>
      <c r="G1940" s="137"/>
      <c r="H1940" s="137"/>
      <c r="I1940" s="137"/>
      <c r="J1940" s="137"/>
      <c r="K1940" s="137"/>
      <c r="L1940" s="137"/>
      <c r="M1940" s="137"/>
      <c r="N1940" s="137"/>
      <c r="O1940" s="137"/>
      <c r="P1940" s="137"/>
      <c r="Q1940" s="137"/>
      <c r="R1940" s="137"/>
      <c r="S1940" s="137"/>
      <c r="T1940" s="137"/>
      <c r="U1940" s="137"/>
      <c r="V1940" s="137"/>
      <c r="W1940" s="137"/>
    </row>
    <row r="1941" spans="1:23" x14ac:dyDescent="0.25">
      <c r="A1941" s="137"/>
      <c r="B1941" s="137"/>
      <c r="C1941" s="137"/>
      <c r="D1941" s="137"/>
      <c r="E1941" s="137"/>
      <c r="F1941" s="137"/>
      <c r="G1941" s="137"/>
      <c r="H1941" s="137"/>
      <c r="I1941" s="137"/>
      <c r="J1941" s="137"/>
      <c r="K1941" s="137"/>
      <c r="L1941" s="137"/>
      <c r="M1941" s="137"/>
      <c r="N1941" s="137"/>
      <c r="O1941" s="137"/>
      <c r="P1941" s="137"/>
      <c r="Q1941" s="137"/>
      <c r="R1941" s="137"/>
      <c r="S1941" s="137"/>
      <c r="T1941" s="137"/>
      <c r="U1941" s="137"/>
      <c r="V1941" s="137"/>
      <c r="W1941" s="137"/>
    </row>
    <row r="1942" spans="1:23" x14ac:dyDescent="0.25">
      <c r="A1942" s="137"/>
      <c r="B1942" s="137"/>
      <c r="C1942" s="137"/>
      <c r="D1942" s="137"/>
      <c r="E1942" s="137"/>
      <c r="F1942" s="137"/>
      <c r="G1942" s="137"/>
      <c r="H1942" s="137"/>
      <c r="I1942" s="137"/>
      <c r="J1942" s="137"/>
      <c r="K1942" s="137"/>
      <c r="L1942" s="137"/>
      <c r="M1942" s="137"/>
      <c r="N1942" s="137"/>
      <c r="O1942" s="137"/>
      <c r="P1942" s="137"/>
      <c r="Q1942" s="137"/>
      <c r="R1942" s="137"/>
      <c r="S1942" s="137"/>
      <c r="T1942" s="137"/>
      <c r="U1942" s="137"/>
      <c r="V1942" s="137"/>
      <c r="W1942" s="137"/>
    </row>
    <row r="1943" spans="1:23" x14ac:dyDescent="0.25">
      <c r="A1943" s="137"/>
      <c r="B1943" s="137"/>
      <c r="C1943" s="137"/>
      <c r="D1943" s="137"/>
      <c r="E1943" s="137"/>
      <c r="F1943" s="137"/>
      <c r="G1943" s="137"/>
      <c r="H1943" s="137"/>
      <c r="I1943" s="137"/>
      <c r="J1943" s="137"/>
      <c r="K1943" s="137"/>
      <c r="L1943" s="137"/>
      <c r="M1943" s="137"/>
      <c r="N1943" s="137"/>
      <c r="O1943" s="137"/>
      <c r="P1943" s="137"/>
      <c r="Q1943" s="137"/>
      <c r="R1943" s="137"/>
      <c r="S1943" s="137"/>
      <c r="T1943" s="137"/>
      <c r="U1943" s="137"/>
      <c r="V1943" s="137"/>
      <c r="W1943" s="137"/>
    </row>
    <row r="1944" spans="1:23" x14ac:dyDescent="0.25">
      <c r="A1944" s="137"/>
      <c r="B1944" s="137"/>
      <c r="C1944" s="137"/>
      <c r="D1944" s="137"/>
      <c r="E1944" s="137"/>
      <c r="F1944" s="137"/>
      <c r="G1944" s="137"/>
      <c r="H1944" s="137"/>
      <c r="I1944" s="137"/>
      <c r="J1944" s="137"/>
      <c r="K1944" s="137"/>
      <c r="L1944" s="137"/>
      <c r="M1944" s="137"/>
      <c r="N1944" s="137"/>
      <c r="O1944" s="137"/>
      <c r="P1944" s="137"/>
      <c r="Q1944" s="137"/>
      <c r="R1944" s="137"/>
      <c r="S1944" s="137"/>
      <c r="T1944" s="137"/>
      <c r="U1944" s="137"/>
      <c r="V1944" s="137"/>
      <c r="W1944" s="137"/>
    </row>
    <row r="1945" spans="1:23" x14ac:dyDescent="0.25">
      <c r="A1945" s="137"/>
      <c r="B1945" s="137"/>
      <c r="C1945" s="137"/>
      <c r="D1945" s="137"/>
      <c r="E1945" s="137"/>
      <c r="F1945" s="137"/>
      <c r="G1945" s="137"/>
      <c r="H1945" s="137"/>
      <c r="I1945" s="137"/>
      <c r="J1945" s="137"/>
      <c r="K1945" s="137"/>
      <c r="L1945" s="137"/>
      <c r="M1945" s="137"/>
      <c r="N1945" s="137"/>
      <c r="O1945" s="137"/>
      <c r="P1945" s="137"/>
      <c r="Q1945" s="137"/>
      <c r="R1945" s="137"/>
      <c r="S1945" s="137"/>
      <c r="T1945" s="137"/>
      <c r="U1945" s="137"/>
      <c r="V1945" s="137"/>
      <c r="W1945" s="137"/>
    </row>
    <row r="1946" spans="1:23" x14ac:dyDescent="0.25">
      <c r="A1946" s="137"/>
      <c r="B1946" s="137"/>
      <c r="C1946" s="137"/>
      <c r="D1946" s="137"/>
      <c r="E1946" s="137"/>
      <c r="F1946" s="137"/>
      <c r="G1946" s="137"/>
      <c r="H1946" s="137"/>
      <c r="I1946" s="137"/>
      <c r="J1946" s="137"/>
      <c r="K1946" s="137"/>
      <c r="L1946" s="137"/>
      <c r="M1946" s="137"/>
      <c r="N1946" s="137"/>
      <c r="O1946" s="137"/>
      <c r="P1946" s="137"/>
      <c r="Q1946" s="137"/>
      <c r="R1946" s="137"/>
      <c r="S1946" s="137"/>
      <c r="T1946" s="137"/>
      <c r="U1946" s="137"/>
      <c r="V1946" s="137"/>
      <c r="W1946" s="137"/>
    </row>
    <row r="1947" spans="1:23" x14ac:dyDescent="0.25">
      <c r="A1947" s="137"/>
      <c r="B1947" s="137"/>
      <c r="C1947" s="137"/>
      <c r="D1947" s="137"/>
      <c r="E1947" s="137"/>
      <c r="F1947" s="137"/>
      <c r="G1947" s="137"/>
      <c r="H1947" s="137"/>
      <c r="I1947" s="137"/>
      <c r="J1947" s="137"/>
      <c r="K1947" s="137"/>
      <c r="L1947" s="137"/>
      <c r="M1947" s="137"/>
      <c r="N1947" s="137"/>
      <c r="O1947" s="137"/>
      <c r="P1947" s="137"/>
      <c r="Q1947" s="137"/>
      <c r="R1947" s="137"/>
      <c r="S1947" s="137"/>
      <c r="T1947" s="137"/>
      <c r="U1947" s="137"/>
      <c r="V1947" s="137"/>
      <c r="W1947" s="137"/>
    </row>
    <row r="1948" spans="1:23" x14ac:dyDescent="0.25">
      <c r="A1948" s="137"/>
      <c r="B1948" s="137"/>
      <c r="C1948" s="137"/>
      <c r="D1948" s="137"/>
      <c r="E1948" s="137"/>
      <c r="F1948" s="137"/>
      <c r="G1948" s="137"/>
      <c r="H1948" s="137"/>
      <c r="I1948" s="137"/>
      <c r="J1948" s="137"/>
      <c r="K1948" s="137"/>
      <c r="L1948" s="137"/>
      <c r="M1948" s="137"/>
      <c r="N1948" s="137"/>
      <c r="O1948" s="137"/>
      <c r="P1948" s="137"/>
      <c r="Q1948" s="137"/>
      <c r="R1948" s="137"/>
      <c r="S1948" s="137"/>
      <c r="T1948" s="137"/>
      <c r="U1948" s="137"/>
      <c r="V1948" s="137"/>
      <c r="W1948" s="137"/>
    </row>
    <row r="1949" spans="1:23" x14ac:dyDescent="0.25">
      <c r="A1949" s="137"/>
      <c r="B1949" s="137"/>
      <c r="C1949" s="137"/>
      <c r="D1949" s="137"/>
      <c r="E1949" s="137"/>
      <c r="F1949" s="137"/>
      <c r="G1949" s="137"/>
      <c r="H1949" s="137"/>
      <c r="I1949" s="137"/>
      <c r="J1949" s="137"/>
      <c r="K1949" s="137"/>
      <c r="L1949" s="137"/>
      <c r="M1949" s="137"/>
      <c r="N1949" s="137"/>
      <c r="O1949" s="137"/>
      <c r="P1949" s="137"/>
      <c r="Q1949" s="137"/>
      <c r="R1949" s="137"/>
      <c r="S1949" s="137"/>
      <c r="T1949" s="137"/>
      <c r="U1949" s="137"/>
      <c r="V1949" s="137"/>
      <c r="W1949" s="137"/>
    </row>
    <row r="1950" spans="1:23" x14ac:dyDescent="0.25">
      <c r="A1950" s="137"/>
      <c r="B1950" s="137"/>
      <c r="C1950" s="137"/>
      <c r="D1950" s="137"/>
      <c r="E1950" s="137"/>
      <c r="F1950" s="137"/>
      <c r="G1950" s="137"/>
      <c r="H1950" s="137"/>
      <c r="I1950" s="137"/>
      <c r="J1950" s="137"/>
      <c r="K1950" s="137"/>
      <c r="L1950" s="137"/>
      <c r="M1950" s="137"/>
      <c r="N1950" s="137"/>
      <c r="O1950" s="137"/>
      <c r="P1950" s="137"/>
      <c r="Q1950" s="137"/>
      <c r="R1950" s="137"/>
      <c r="S1950" s="137"/>
      <c r="T1950" s="137"/>
      <c r="U1950" s="137"/>
      <c r="V1950" s="137"/>
      <c r="W1950" s="137"/>
    </row>
    <row r="1951" spans="1:23" x14ac:dyDescent="0.25">
      <c r="A1951" s="137"/>
      <c r="B1951" s="137"/>
      <c r="C1951" s="137"/>
      <c r="D1951" s="137"/>
      <c r="E1951" s="137"/>
      <c r="F1951" s="137"/>
      <c r="G1951" s="137"/>
      <c r="H1951" s="137"/>
      <c r="I1951" s="137"/>
      <c r="J1951" s="137"/>
      <c r="K1951" s="137"/>
      <c r="L1951" s="137"/>
      <c r="M1951" s="137"/>
      <c r="N1951" s="137"/>
      <c r="O1951" s="137"/>
      <c r="P1951" s="137"/>
      <c r="Q1951" s="137"/>
      <c r="R1951" s="137"/>
      <c r="S1951" s="137"/>
      <c r="T1951" s="137"/>
      <c r="U1951" s="137"/>
      <c r="V1951" s="137"/>
      <c r="W1951" s="137"/>
    </row>
    <row r="1952" spans="1:23" x14ac:dyDescent="0.25">
      <c r="A1952" s="137"/>
      <c r="B1952" s="137"/>
      <c r="C1952" s="137"/>
      <c r="D1952" s="137"/>
      <c r="E1952" s="137"/>
      <c r="F1952" s="137"/>
      <c r="G1952" s="137"/>
      <c r="H1952" s="137"/>
      <c r="I1952" s="137"/>
      <c r="J1952" s="137"/>
      <c r="K1952" s="137"/>
      <c r="L1952" s="137"/>
      <c r="M1952" s="137"/>
      <c r="N1952" s="137"/>
      <c r="O1952" s="137"/>
      <c r="P1952" s="137"/>
      <c r="Q1952" s="137"/>
      <c r="R1952" s="137"/>
      <c r="S1952" s="137"/>
      <c r="T1952" s="137"/>
      <c r="U1952" s="137"/>
      <c r="V1952" s="137"/>
      <c r="W1952" s="137"/>
    </row>
    <row r="1953" spans="1:23" x14ac:dyDescent="0.25">
      <c r="A1953" s="137"/>
      <c r="B1953" s="137"/>
      <c r="C1953" s="137"/>
      <c r="D1953" s="137"/>
      <c r="E1953" s="137"/>
      <c r="F1953" s="137"/>
      <c r="G1953" s="137"/>
      <c r="H1953" s="137"/>
      <c r="I1953" s="137"/>
      <c r="J1953" s="137"/>
      <c r="K1953" s="137"/>
      <c r="L1953" s="137"/>
      <c r="M1953" s="137"/>
      <c r="N1953" s="137"/>
      <c r="O1953" s="137"/>
      <c r="P1953" s="137"/>
      <c r="Q1953" s="137"/>
      <c r="R1953" s="137"/>
      <c r="S1953" s="137"/>
      <c r="T1953" s="137"/>
      <c r="U1953" s="137"/>
      <c r="V1953" s="137"/>
      <c r="W1953" s="137"/>
    </row>
    <row r="1954" spans="1:23" x14ac:dyDescent="0.25">
      <c r="A1954" s="137"/>
      <c r="B1954" s="137"/>
      <c r="C1954" s="137"/>
      <c r="D1954" s="137"/>
      <c r="E1954" s="137"/>
      <c r="F1954" s="137"/>
      <c r="G1954" s="137"/>
      <c r="H1954" s="137"/>
      <c r="I1954" s="137"/>
      <c r="J1954" s="137"/>
      <c r="K1954" s="137"/>
      <c r="L1954" s="137"/>
      <c r="M1954" s="137"/>
      <c r="N1954" s="137"/>
      <c r="O1954" s="137"/>
      <c r="P1954" s="137"/>
      <c r="Q1954" s="137"/>
      <c r="R1954" s="137"/>
      <c r="S1954" s="137"/>
      <c r="T1954" s="137"/>
      <c r="U1954" s="137"/>
      <c r="V1954" s="137"/>
      <c r="W1954" s="137"/>
    </row>
    <row r="1955" spans="1:23" x14ac:dyDescent="0.25">
      <c r="A1955" s="137"/>
      <c r="B1955" s="137"/>
      <c r="C1955" s="137"/>
      <c r="D1955" s="137"/>
      <c r="E1955" s="137"/>
      <c r="F1955" s="137"/>
      <c r="G1955" s="137"/>
      <c r="H1955" s="137"/>
      <c r="I1955" s="137"/>
      <c r="J1955" s="137"/>
      <c r="K1955" s="137"/>
      <c r="L1955" s="137"/>
      <c r="M1955" s="137"/>
      <c r="N1955" s="137"/>
      <c r="O1955" s="137"/>
      <c r="P1955" s="137"/>
      <c r="Q1955" s="137"/>
      <c r="R1955" s="137"/>
      <c r="S1955" s="137"/>
      <c r="T1955" s="137"/>
      <c r="U1955" s="137"/>
      <c r="V1955" s="137"/>
      <c r="W1955" s="137"/>
    </row>
    <row r="1956" spans="1:23" x14ac:dyDescent="0.25">
      <c r="A1956" s="137"/>
      <c r="B1956" s="137"/>
      <c r="C1956" s="137"/>
      <c r="D1956" s="137"/>
      <c r="E1956" s="137"/>
      <c r="F1956" s="137"/>
      <c r="G1956" s="137"/>
      <c r="H1956" s="137"/>
      <c r="I1956" s="137"/>
      <c r="J1956" s="137"/>
      <c r="K1956" s="137"/>
      <c r="L1956" s="137"/>
      <c r="M1956" s="137"/>
      <c r="N1956" s="137"/>
      <c r="O1956" s="137"/>
      <c r="P1956" s="137"/>
      <c r="Q1956" s="137"/>
      <c r="R1956" s="137"/>
      <c r="S1956" s="137"/>
      <c r="T1956" s="137"/>
      <c r="U1956" s="137"/>
      <c r="V1956" s="137"/>
      <c r="W1956" s="137"/>
    </row>
    <row r="1957" spans="1:23" x14ac:dyDescent="0.25">
      <c r="A1957" s="137"/>
      <c r="B1957" s="137"/>
      <c r="C1957" s="137"/>
      <c r="D1957" s="137"/>
      <c r="E1957" s="137"/>
      <c r="F1957" s="137"/>
      <c r="G1957" s="137"/>
      <c r="H1957" s="137"/>
      <c r="I1957" s="137"/>
      <c r="J1957" s="137"/>
      <c r="K1957" s="137"/>
      <c r="L1957" s="137"/>
      <c r="M1957" s="137"/>
      <c r="N1957" s="137"/>
      <c r="O1957" s="137"/>
      <c r="P1957" s="137"/>
      <c r="Q1957" s="137"/>
      <c r="R1957" s="137"/>
      <c r="S1957" s="137"/>
      <c r="T1957" s="137"/>
      <c r="U1957" s="137"/>
      <c r="V1957" s="137"/>
      <c r="W1957" s="137"/>
    </row>
    <row r="1958" spans="1:23" x14ac:dyDescent="0.25">
      <c r="A1958" s="137"/>
      <c r="B1958" s="137"/>
      <c r="C1958" s="137"/>
      <c r="D1958" s="137"/>
      <c r="E1958" s="137"/>
      <c r="F1958" s="137"/>
      <c r="G1958" s="137"/>
      <c r="H1958" s="137"/>
      <c r="I1958" s="137"/>
      <c r="J1958" s="137"/>
      <c r="K1958" s="137"/>
      <c r="L1958" s="137"/>
      <c r="M1958" s="137"/>
      <c r="N1958" s="137"/>
      <c r="O1958" s="137"/>
      <c r="P1958" s="137"/>
      <c r="Q1958" s="137"/>
      <c r="R1958" s="137"/>
      <c r="S1958" s="137"/>
      <c r="T1958" s="137"/>
      <c r="U1958" s="137"/>
      <c r="V1958" s="137"/>
      <c r="W1958" s="137"/>
    </row>
    <row r="1959" spans="1:23" x14ac:dyDescent="0.25">
      <c r="A1959" s="137"/>
      <c r="B1959" s="137"/>
      <c r="C1959" s="137"/>
      <c r="D1959" s="137"/>
      <c r="E1959" s="137"/>
      <c r="F1959" s="137"/>
      <c r="G1959" s="137"/>
      <c r="H1959" s="137"/>
      <c r="I1959" s="137"/>
      <c r="J1959" s="137"/>
      <c r="K1959" s="137"/>
      <c r="L1959" s="137"/>
      <c r="M1959" s="137"/>
      <c r="N1959" s="137"/>
      <c r="O1959" s="137"/>
      <c r="P1959" s="137"/>
      <c r="Q1959" s="137"/>
      <c r="R1959" s="137"/>
      <c r="S1959" s="137"/>
      <c r="T1959" s="137"/>
      <c r="U1959" s="137"/>
      <c r="V1959" s="137"/>
      <c r="W1959" s="137"/>
    </row>
    <row r="1960" spans="1:23" x14ac:dyDescent="0.25">
      <c r="A1960" s="137"/>
      <c r="B1960" s="137"/>
      <c r="C1960" s="137"/>
      <c r="D1960" s="137"/>
      <c r="E1960" s="137"/>
      <c r="F1960" s="137"/>
      <c r="G1960" s="137"/>
      <c r="H1960" s="137"/>
      <c r="I1960" s="137"/>
      <c r="J1960" s="137"/>
      <c r="K1960" s="137"/>
      <c r="L1960" s="137"/>
      <c r="M1960" s="137"/>
      <c r="N1960" s="137"/>
      <c r="O1960" s="137"/>
      <c r="P1960" s="137"/>
      <c r="Q1960" s="137"/>
      <c r="R1960" s="137"/>
      <c r="S1960" s="137"/>
      <c r="T1960" s="137"/>
      <c r="U1960" s="137"/>
      <c r="V1960" s="137"/>
      <c r="W1960" s="137"/>
    </row>
    <row r="1961" spans="1:23" x14ac:dyDescent="0.25">
      <c r="A1961" s="137"/>
      <c r="B1961" s="137"/>
      <c r="C1961" s="137"/>
      <c r="D1961" s="137"/>
      <c r="E1961" s="137"/>
      <c r="F1961" s="137"/>
      <c r="G1961" s="137"/>
      <c r="H1961" s="137"/>
      <c r="I1961" s="137"/>
      <c r="J1961" s="137"/>
      <c r="K1961" s="137"/>
      <c r="L1961" s="137"/>
      <c r="M1961" s="137"/>
      <c r="N1961" s="137"/>
      <c r="O1961" s="137"/>
      <c r="P1961" s="137"/>
      <c r="Q1961" s="137"/>
      <c r="R1961" s="137"/>
      <c r="S1961" s="137"/>
      <c r="T1961" s="137"/>
      <c r="U1961" s="137"/>
      <c r="V1961" s="137"/>
      <c r="W1961" s="137"/>
    </row>
    <row r="1962" spans="1:23" x14ac:dyDescent="0.25">
      <c r="A1962" s="137"/>
      <c r="B1962" s="137"/>
      <c r="C1962" s="137"/>
      <c r="D1962" s="137"/>
      <c r="E1962" s="137"/>
      <c r="F1962" s="137"/>
      <c r="G1962" s="137"/>
      <c r="H1962" s="137"/>
      <c r="I1962" s="137"/>
      <c r="J1962" s="137"/>
      <c r="K1962" s="137"/>
      <c r="L1962" s="137"/>
      <c r="M1962" s="137"/>
      <c r="N1962" s="137"/>
      <c r="O1962" s="137"/>
      <c r="P1962" s="137"/>
      <c r="Q1962" s="137"/>
      <c r="R1962" s="137"/>
      <c r="S1962" s="137"/>
      <c r="T1962" s="137"/>
      <c r="U1962" s="137"/>
      <c r="V1962" s="137"/>
      <c r="W1962" s="137"/>
    </row>
    <row r="1963" spans="1:23" x14ac:dyDescent="0.25">
      <c r="A1963" s="137"/>
      <c r="B1963" s="137"/>
      <c r="C1963" s="137"/>
      <c r="D1963" s="137"/>
      <c r="E1963" s="137"/>
      <c r="F1963" s="137"/>
      <c r="G1963" s="137"/>
      <c r="H1963" s="137"/>
      <c r="I1963" s="137"/>
      <c r="J1963" s="137"/>
      <c r="K1963" s="137"/>
      <c r="L1963" s="137"/>
      <c r="M1963" s="137"/>
      <c r="N1963" s="137"/>
      <c r="O1963" s="137"/>
      <c r="P1963" s="137"/>
      <c r="Q1963" s="137"/>
      <c r="R1963" s="137"/>
      <c r="S1963" s="137"/>
      <c r="T1963" s="137"/>
      <c r="U1963" s="137"/>
      <c r="V1963" s="137"/>
      <c r="W1963" s="137"/>
    </row>
    <row r="1964" spans="1:23" x14ac:dyDescent="0.25">
      <c r="A1964" s="137"/>
      <c r="B1964" s="137"/>
      <c r="C1964" s="137"/>
      <c r="D1964" s="137"/>
      <c r="E1964" s="137"/>
      <c r="F1964" s="137"/>
      <c r="G1964" s="137"/>
      <c r="H1964" s="137"/>
      <c r="I1964" s="137"/>
      <c r="J1964" s="137"/>
      <c r="K1964" s="137"/>
      <c r="L1964" s="137"/>
      <c r="M1964" s="137"/>
      <c r="N1964" s="137"/>
      <c r="O1964" s="137"/>
      <c r="P1964" s="137"/>
      <c r="Q1964" s="137"/>
      <c r="R1964" s="137"/>
      <c r="S1964" s="137"/>
      <c r="T1964" s="137"/>
      <c r="U1964" s="137"/>
      <c r="V1964" s="137"/>
      <c r="W1964" s="137"/>
    </row>
    <row r="1965" spans="1:23" x14ac:dyDescent="0.25">
      <c r="A1965" s="137"/>
      <c r="B1965" s="137"/>
      <c r="C1965" s="137"/>
      <c r="D1965" s="137"/>
      <c r="E1965" s="137"/>
      <c r="F1965" s="137"/>
      <c r="G1965" s="137"/>
      <c r="H1965" s="137"/>
      <c r="I1965" s="137"/>
      <c r="J1965" s="137"/>
      <c r="K1965" s="137"/>
      <c r="L1965" s="137"/>
      <c r="M1965" s="137"/>
      <c r="N1965" s="137"/>
      <c r="O1965" s="137"/>
      <c r="P1965" s="137"/>
      <c r="Q1965" s="137"/>
      <c r="R1965" s="137"/>
      <c r="S1965" s="137"/>
      <c r="T1965" s="137"/>
      <c r="U1965" s="137"/>
      <c r="V1965" s="137"/>
      <c r="W1965" s="137"/>
    </row>
    <row r="1966" spans="1:23" x14ac:dyDescent="0.25">
      <c r="A1966" s="137"/>
      <c r="B1966" s="137"/>
      <c r="C1966" s="137"/>
      <c r="D1966" s="137"/>
      <c r="E1966" s="137"/>
      <c r="F1966" s="137"/>
      <c r="G1966" s="137"/>
      <c r="H1966" s="137"/>
      <c r="I1966" s="137"/>
      <c r="J1966" s="137"/>
      <c r="K1966" s="137"/>
      <c r="L1966" s="137"/>
      <c r="M1966" s="137"/>
      <c r="N1966" s="137"/>
      <c r="O1966" s="137"/>
      <c r="P1966" s="137"/>
      <c r="Q1966" s="137"/>
      <c r="R1966" s="137"/>
      <c r="S1966" s="137"/>
      <c r="T1966" s="137"/>
      <c r="U1966" s="137"/>
      <c r="V1966" s="137"/>
      <c r="W1966" s="137"/>
    </row>
    <row r="1967" spans="1:23" x14ac:dyDescent="0.25">
      <c r="A1967" s="137"/>
      <c r="B1967" s="137"/>
      <c r="C1967" s="137"/>
      <c r="D1967" s="137"/>
      <c r="E1967" s="137"/>
      <c r="F1967" s="137"/>
      <c r="G1967" s="137"/>
      <c r="H1967" s="137"/>
      <c r="I1967" s="137"/>
      <c r="J1967" s="137"/>
      <c r="K1967" s="137"/>
      <c r="L1967" s="137"/>
      <c r="M1967" s="137"/>
      <c r="N1967" s="137"/>
      <c r="O1967" s="137"/>
      <c r="P1967" s="137"/>
      <c r="Q1967" s="137"/>
      <c r="R1967" s="137"/>
      <c r="S1967" s="137"/>
      <c r="T1967" s="137"/>
      <c r="U1967" s="137"/>
      <c r="V1967" s="137"/>
      <c r="W1967" s="137"/>
    </row>
    <row r="1968" spans="1:23" x14ac:dyDescent="0.25">
      <c r="A1968" s="137"/>
      <c r="B1968" s="137"/>
      <c r="C1968" s="137"/>
      <c r="D1968" s="137"/>
      <c r="E1968" s="137"/>
      <c r="F1968" s="137"/>
      <c r="G1968" s="137"/>
      <c r="H1968" s="137"/>
      <c r="I1968" s="137"/>
      <c r="J1968" s="137"/>
      <c r="K1968" s="137"/>
      <c r="L1968" s="137"/>
      <c r="M1968" s="137"/>
      <c r="N1968" s="137"/>
      <c r="O1968" s="137"/>
      <c r="P1968" s="137"/>
      <c r="Q1968" s="137"/>
      <c r="R1968" s="137"/>
      <c r="S1968" s="137"/>
      <c r="T1968" s="137"/>
      <c r="U1968" s="137"/>
      <c r="V1968" s="137"/>
      <c r="W1968" s="137"/>
    </row>
    <row r="1969" spans="1:23" x14ac:dyDescent="0.25">
      <c r="A1969" s="137"/>
      <c r="B1969" s="137"/>
      <c r="C1969" s="137"/>
      <c r="D1969" s="137"/>
      <c r="E1969" s="137"/>
      <c r="F1969" s="137"/>
      <c r="G1969" s="137"/>
      <c r="H1969" s="137"/>
      <c r="I1969" s="137"/>
      <c r="J1969" s="137"/>
      <c r="K1969" s="137"/>
      <c r="L1969" s="137"/>
      <c r="M1969" s="137"/>
      <c r="N1969" s="137"/>
      <c r="O1969" s="137"/>
      <c r="P1969" s="137"/>
      <c r="Q1969" s="137"/>
      <c r="R1969" s="137"/>
      <c r="S1969" s="137"/>
      <c r="T1969" s="137"/>
      <c r="U1969" s="137"/>
      <c r="V1969" s="137"/>
      <c r="W1969" s="137"/>
    </row>
    <row r="1970" spans="1:23" x14ac:dyDescent="0.25">
      <c r="A1970" s="137"/>
      <c r="B1970" s="137"/>
      <c r="C1970" s="137"/>
      <c r="D1970" s="137"/>
      <c r="E1970" s="137"/>
      <c r="F1970" s="137"/>
      <c r="G1970" s="137"/>
      <c r="H1970" s="137"/>
      <c r="I1970" s="137"/>
      <c r="J1970" s="137"/>
      <c r="K1970" s="137"/>
      <c r="L1970" s="137"/>
      <c r="M1970" s="137"/>
      <c r="N1970" s="137"/>
      <c r="O1970" s="137"/>
      <c r="P1970" s="137"/>
      <c r="Q1970" s="137"/>
      <c r="R1970" s="137"/>
      <c r="S1970" s="137"/>
      <c r="T1970" s="137"/>
      <c r="U1970" s="137"/>
      <c r="V1970" s="137"/>
      <c r="W1970" s="137"/>
    </row>
    <row r="1971" spans="1:23" x14ac:dyDescent="0.25">
      <c r="A1971" s="137"/>
      <c r="B1971" s="137"/>
      <c r="C1971" s="137"/>
      <c r="D1971" s="137"/>
      <c r="E1971" s="137"/>
      <c r="F1971" s="137"/>
      <c r="G1971" s="137"/>
      <c r="H1971" s="137"/>
      <c r="I1971" s="137"/>
      <c r="J1971" s="137"/>
      <c r="K1971" s="137"/>
      <c r="L1971" s="137"/>
      <c r="M1971" s="137"/>
      <c r="N1971" s="137"/>
      <c r="O1971" s="137"/>
      <c r="P1971" s="137"/>
      <c r="Q1971" s="137"/>
      <c r="R1971" s="137"/>
      <c r="S1971" s="137"/>
      <c r="T1971" s="137"/>
      <c r="U1971" s="137"/>
      <c r="V1971" s="137"/>
      <c r="W1971" s="137"/>
    </row>
    <row r="1972" spans="1:23" x14ac:dyDescent="0.25">
      <c r="A1972" s="137"/>
      <c r="B1972" s="137"/>
      <c r="C1972" s="137"/>
      <c r="D1972" s="137"/>
      <c r="E1972" s="137"/>
      <c r="F1972" s="137"/>
      <c r="G1972" s="137"/>
      <c r="H1972" s="137"/>
      <c r="I1972" s="137"/>
      <c r="J1972" s="137"/>
      <c r="K1972" s="137"/>
      <c r="L1972" s="137"/>
      <c r="M1972" s="137"/>
      <c r="N1972" s="137"/>
      <c r="O1972" s="137"/>
      <c r="P1972" s="137"/>
      <c r="Q1972" s="137"/>
      <c r="R1972" s="137"/>
      <c r="S1972" s="137"/>
      <c r="T1972" s="137"/>
      <c r="U1972" s="137"/>
      <c r="V1972" s="137"/>
      <c r="W1972" s="137"/>
    </row>
    <row r="1973" spans="1:23" x14ac:dyDescent="0.25">
      <c r="A1973" s="137"/>
      <c r="B1973" s="137"/>
      <c r="C1973" s="137"/>
      <c r="D1973" s="137"/>
      <c r="E1973" s="137"/>
      <c r="F1973" s="137"/>
      <c r="G1973" s="137"/>
      <c r="H1973" s="137"/>
      <c r="I1973" s="137"/>
      <c r="J1973" s="137"/>
      <c r="K1973" s="137"/>
      <c r="L1973" s="137"/>
      <c r="M1973" s="137"/>
      <c r="N1973" s="137"/>
      <c r="O1973" s="137"/>
      <c r="P1973" s="137"/>
      <c r="Q1973" s="137"/>
      <c r="R1973" s="137"/>
      <c r="S1973" s="137"/>
      <c r="T1973" s="137"/>
      <c r="U1973" s="137"/>
      <c r="V1973" s="137"/>
      <c r="W1973" s="137"/>
    </row>
    <row r="1974" spans="1:23" x14ac:dyDescent="0.25">
      <c r="A1974" s="137"/>
      <c r="B1974" s="137"/>
      <c r="C1974" s="137"/>
      <c r="D1974" s="137"/>
      <c r="E1974" s="137"/>
      <c r="F1974" s="137"/>
      <c r="G1974" s="137"/>
      <c r="H1974" s="137"/>
      <c r="I1974" s="137"/>
      <c r="J1974" s="137"/>
      <c r="K1974" s="137"/>
      <c r="L1974" s="137"/>
      <c r="M1974" s="137"/>
      <c r="N1974" s="137"/>
      <c r="O1974" s="137"/>
      <c r="P1974" s="137"/>
      <c r="Q1974" s="137"/>
      <c r="R1974" s="137"/>
      <c r="S1974" s="137"/>
      <c r="T1974" s="137"/>
      <c r="U1974" s="137"/>
      <c r="V1974" s="137"/>
      <c r="W1974" s="137"/>
    </row>
    <row r="1975" spans="1:23" x14ac:dyDescent="0.25">
      <c r="A1975" s="137"/>
      <c r="B1975" s="137"/>
      <c r="C1975" s="137"/>
      <c r="D1975" s="137"/>
      <c r="E1975" s="137"/>
      <c r="F1975" s="137"/>
      <c r="G1975" s="137"/>
      <c r="H1975" s="137"/>
      <c r="I1975" s="137"/>
      <c r="J1975" s="137"/>
      <c r="K1975" s="137"/>
      <c r="L1975" s="137"/>
      <c r="M1975" s="137"/>
      <c r="N1975" s="137"/>
      <c r="O1975" s="137"/>
      <c r="P1975" s="137"/>
      <c r="Q1975" s="137"/>
      <c r="R1975" s="137"/>
      <c r="S1975" s="137"/>
      <c r="T1975" s="137"/>
      <c r="U1975" s="137"/>
      <c r="V1975" s="137"/>
      <c r="W1975" s="137"/>
    </row>
    <row r="1976" spans="1:23" x14ac:dyDescent="0.25">
      <c r="A1976" s="137"/>
      <c r="B1976" s="137"/>
      <c r="C1976" s="137"/>
      <c r="D1976" s="137"/>
      <c r="E1976" s="137"/>
      <c r="F1976" s="137"/>
      <c r="G1976" s="137"/>
      <c r="H1976" s="137"/>
      <c r="I1976" s="137"/>
      <c r="J1976" s="137"/>
      <c r="K1976" s="137"/>
      <c r="L1976" s="137"/>
      <c r="M1976" s="137"/>
      <c r="N1976" s="137"/>
      <c r="O1976" s="137"/>
      <c r="P1976" s="137"/>
      <c r="Q1976" s="137"/>
      <c r="R1976" s="137"/>
      <c r="S1976" s="137"/>
      <c r="T1976" s="137"/>
      <c r="U1976" s="137"/>
      <c r="V1976" s="137"/>
      <c r="W1976" s="137"/>
    </row>
    <row r="1977" spans="1:23" x14ac:dyDescent="0.25">
      <c r="A1977" s="137"/>
      <c r="B1977" s="137"/>
      <c r="C1977" s="137"/>
      <c r="D1977" s="137"/>
      <c r="E1977" s="137"/>
      <c r="F1977" s="137"/>
      <c r="G1977" s="137"/>
      <c r="H1977" s="137"/>
      <c r="I1977" s="137"/>
      <c r="J1977" s="137"/>
      <c r="K1977" s="137"/>
      <c r="L1977" s="137"/>
      <c r="M1977" s="137"/>
      <c r="N1977" s="137"/>
      <c r="O1977" s="137"/>
      <c r="P1977" s="137"/>
      <c r="Q1977" s="137"/>
      <c r="R1977" s="137"/>
      <c r="S1977" s="137"/>
      <c r="T1977" s="137"/>
      <c r="U1977" s="137"/>
      <c r="V1977" s="137"/>
      <c r="W1977" s="137"/>
    </row>
    <row r="1978" spans="1:23" x14ac:dyDescent="0.25">
      <c r="A1978" s="137"/>
      <c r="B1978" s="137"/>
      <c r="C1978" s="137"/>
      <c r="D1978" s="137"/>
      <c r="E1978" s="137"/>
      <c r="F1978" s="137"/>
      <c r="G1978" s="137"/>
      <c r="H1978" s="137"/>
      <c r="I1978" s="137"/>
      <c r="J1978" s="137"/>
      <c r="K1978" s="137"/>
      <c r="L1978" s="137"/>
      <c r="M1978" s="137"/>
      <c r="N1978" s="137"/>
      <c r="O1978" s="137"/>
      <c r="P1978" s="137"/>
      <c r="Q1978" s="137"/>
      <c r="R1978" s="137"/>
      <c r="S1978" s="137"/>
      <c r="T1978" s="137"/>
      <c r="U1978" s="137"/>
      <c r="V1978" s="137"/>
      <c r="W1978" s="137"/>
    </row>
    <row r="1979" spans="1:23" x14ac:dyDescent="0.25">
      <c r="A1979" s="137"/>
      <c r="B1979" s="137"/>
      <c r="C1979" s="137"/>
      <c r="D1979" s="137"/>
      <c r="E1979" s="137"/>
      <c r="F1979" s="137"/>
      <c r="G1979" s="137"/>
      <c r="H1979" s="137"/>
      <c r="I1979" s="137"/>
      <c r="J1979" s="137"/>
      <c r="K1979" s="137"/>
      <c r="L1979" s="137"/>
      <c r="M1979" s="137"/>
      <c r="N1979" s="137"/>
      <c r="O1979" s="137"/>
      <c r="P1979" s="137"/>
      <c r="Q1979" s="137"/>
      <c r="R1979" s="137"/>
      <c r="S1979" s="137"/>
      <c r="T1979" s="137"/>
      <c r="U1979" s="137"/>
      <c r="V1979" s="137"/>
      <c r="W1979" s="137"/>
    </row>
    <row r="1980" spans="1:23" x14ac:dyDescent="0.25">
      <c r="A1980" s="137"/>
      <c r="B1980" s="137"/>
      <c r="C1980" s="137"/>
      <c r="D1980" s="137"/>
      <c r="E1980" s="137"/>
      <c r="F1980" s="137"/>
      <c r="G1980" s="137"/>
      <c r="H1980" s="137"/>
      <c r="I1980" s="137"/>
      <c r="J1980" s="137"/>
      <c r="K1980" s="137"/>
      <c r="L1980" s="137"/>
      <c r="M1980" s="137"/>
      <c r="N1980" s="137"/>
      <c r="O1980" s="137"/>
      <c r="P1980" s="137"/>
      <c r="Q1980" s="137"/>
      <c r="R1980" s="137"/>
      <c r="S1980" s="137"/>
      <c r="T1980" s="137"/>
      <c r="U1980" s="137"/>
      <c r="V1980" s="137"/>
      <c r="W1980" s="137"/>
    </row>
    <row r="1981" spans="1:23" x14ac:dyDescent="0.25">
      <c r="A1981" s="137"/>
      <c r="B1981" s="137"/>
      <c r="C1981" s="137"/>
      <c r="D1981" s="137"/>
      <c r="E1981" s="137"/>
      <c r="F1981" s="137"/>
      <c r="G1981" s="137"/>
      <c r="H1981" s="137"/>
      <c r="I1981" s="137"/>
      <c r="J1981" s="137"/>
      <c r="K1981" s="137"/>
      <c r="L1981" s="137"/>
      <c r="M1981" s="137"/>
      <c r="N1981" s="137"/>
      <c r="O1981" s="137"/>
      <c r="P1981" s="137"/>
      <c r="Q1981" s="137"/>
      <c r="R1981" s="137"/>
      <c r="S1981" s="137"/>
      <c r="T1981" s="137"/>
      <c r="U1981" s="137"/>
      <c r="V1981" s="137"/>
      <c r="W1981" s="137"/>
    </row>
    <row r="1982" spans="1:23" x14ac:dyDescent="0.25">
      <c r="A1982" s="137"/>
      <c r="B1982" s="137"/>
      <c r="C1982" s="137"/>
      <c r="D1982" s="137"/>
      <c r="E1982" s="137"/>
      <c r="F1982" s="137"/>
      <c r="G1982" s="137"/>
      <c r="H1982" s="137"/>
      <c r="I1982" s="137"/>
      <c r="J1982" s="137"/>
      <c r="K1982" s="137"/>
      <c r="L1982" s="137"/>
      <c r="M1982" s="137"/>
      <c r="N1982" s="137"/>
      <c r="O1982" s="137"/>
      <c r="P1982" s="137"/>
      <c r="Q1982" s="137"/>
      <c r="R1982" s="137"/>
      <c r="S1982" s="137"/>
      <c r="T1982" s="137"/>
      <c r="U1982" s="137"/>
      <c r="V1982" s="137"/>
      <c r="W1982" s="137"/>
    </row>
    <row r="1983" spans="1:23" x14ac:dyDescent="0.25">
      <c r="A1983" s="137"/>
      <c r="B1983" s="137"/>
      <c r="C1983" s="137"/>
      <c r="D1983" s="137"/>
      <c r="E1983" s="137"/>
      <c r="F1983" s="137"/>
      <c r="G1983" s="137"/>
      <c r="H1983" s="137"/>
      <c r="I1983" s="137"/>
      <c r="J1983" s="137"/>
      <c r="K1983" s="137"/>
      <c r="L1983" s="137"/>
      <c r="M1983" s="137"/>
      <c r="N1983" s="137"/>
      <c r="O1983" s="137"/>
      <c r="P1983" s="137"/>
      <c r="Q1983" s="137"/>
      <c r="R1983" s="137"/>
      <c r="S1983" s="137"/>
      <c r="T1983" s="137"/>
      <c r="U1983" s="137"/>
      <c r="V1983" s="137"/>
      <c r="W1983" s="137"/>
    </row>
    <row r="1984" spans="1:23" x14ac:dyDescent="0.25">
      <c r="A1984" s="137"/>
      <c r="B1984" s="137"/>
      <c r="C1984" s="137"/>
      <c r="D1984" s="137"/>
      <c r="E1984" s="137"/>
      <c r="F1984" s="137"/>
      <c r="G1984" s="137"/>
      <c r="H1984" s="137"/>
      <c r="I1984" s="137"/>
      <c r="J1984" s="137"/>
      <c r="K1984" s="137"/>
      <c r="L1984" s="137"/>
      <c r="M1984" s="137"/>
      <c r="N1984" s="137"/>
      <c r="O1984" s="137"/>
      <c r="P1984" s="137"/>
      <c r="Q1984" s="137"/>
      <c r="R1984" s="137"/>
      <c r="S1984" s="137"/>
      <c r="T1984" s="137"/>
      <c r="U1984" s="137"/>
      <c r="V1984" s="137"/>
      <c r="W1984" s="137"/>
    </row>
    <row r="1985" spans="1:23" x14ac:dyDescent="0.25">
      <c r="A1985" s="137"/>
      <c r="B1985" s="137"/>
      <c r="C1985" s="137"/>
      <c r="D1985" s="137"/>
      <c r="E1985" s="137"/>
      <c r="F1985" s="137"/>
      <c r="G1985" s="137"/>
      <c r="H1985" s="137"/>
      <c r="I1985" s="137"/>
      <c r="J1985" s="137"/>
      <c r="K1985" s="137"/>
      <c r="L1985" s="137"/>
      <c r="M1985" s="137"/>
      <c r="N1985" s="137"/>
      <c r="O1985" s="137"/>
      <c r="P1985" s="137"/>
      <c r="Q1985" s="137"/>
      <c r="R1985" s="137"/>
      <c r="S1985" s="137"/>
      <c r="T1985" s="137"/>
      <c r="U1985" s="137"/>
      <c r="V1985" s="137"/>
      <c r="W1985" s="137"/>
    </row>
    <row r="1986" spans="1:23" x14ac:dyDescent="0.25">
      <c r="A1986" s="137"/>
      <c r="B1986" s="137"/>
      <c r="C1986" s="137"/>
      <c r="D1986" s="137"/>
      <c r="E1986" s="137"/>
      <c r="F1986" s="137"/>
      <c r="G1986" s="137"/>
      <c r="H1986" s="137"/>
      <c r="I1986" s="137"/>
      <c r="J1986" s="137"/>
      <c r="K1986" s="137"/>
      <c r="L1986" s="137"/>
      <c r="M1986" s="137"/>
      <c r="N1986" s="137"/>
      <c r="O1986" s="137"/>
      <c r="P1986" s="137"/>
      <c r="Q1986" s="137"/>
      <c r="R1986" s="137"/>
      <c r="S1986" s="137"/>
      <c r="T1986" s="137"/>
      <c r="U1986" s="137"/>
      <c r="V1986" s="137"/>
      <c r="W1986" s="137"/>
    </row>
    <row r="1987" spans="1:23" x14ac:dyDescent="0.25">
      <c r="A1987" s="137"/>
      <c r="B1987" s="137"/>
      <c r="C1987" s="137"/>
      <c r="D1987" s="137"/>
      <c r="E1987" s="137"/>
      <c r="F1987" s="137"/>
      <c r="G1987" s="137"/>
      <c r="H1987" s="137"/>
      <c r="I1987" s="137"/>
      <c r="J1987" s="137"/>
      <c r="K1987" s="137"/>
      <c r="L1987" s="137"/>
      <c r="M1987" s="137"/>
      <c r="N1987" s="137"/>
      <c r="O1987" s="137"/>
      <c r="P1987" s="137"/>
      <c r="Q1987" s="137"/>
      <c r="R1987" s="137"/>
      <c r="S1987" s="137"/>
      <c r="T1987" s="137"/>
      <c r="U1987" s="137"/>
      <c r="V1987" s="137"/>
      <c r="W1987" s="137"/>
    </row>
    <row r="1988" spans="1:23" x14ac:dyDescent="0.25">
      <c r="A1988" s="137"/>
      <c r="B1988" s="137"/>
      <c r="C1988" s="137"/>
      <c r="D1988" s="137"/>
      <c r="E1988" s="137"/>
      <c r="F1988" s="137"/>
      <c r="G1988" s="137"/>
      <c r="H1988" s="137"/>
      <c r="I1988" s="137"/>
      <c r="J1988" s="137"/>
      <c r="K1988" s="137"/>
      <c r="L1988" s="137"/>
      <c r="M1988" s="137"/>
      <c r="N1988" s="137"/>
      <c r="O1988" s="137"/>
      <c r="P1988" s="137"/>
      <c r="Q1988" s="137"/>
      <c r="R1988" s="137"/>
      <c r="S1988" s="137"/>
      <c r="T1988" s="137"/>
      <c r="U1988" s="137"/>
      <c r="V1988" s="137"/>
      <c r="W1988" s="137"/>
    </row>
    <row r="1989" spans="1:23" x14ac:dyDescent="0.25">
      <c r="A1989" s="137"/>
      <c r="B1989" s="137"/>
      <c r="C1989" s="137"/>
      <c r="D1989" s="137"/>
      <c r="E1989" s="137"/>
      <c r="F1989" s="137"/>
      <c r="G1989" s="137"/>
      <c r="H1989" s="137"/>
      <c r="I1989" s="137"/>
      <c r="J1989" s="137"/>
      <c r="K1989" s="137"/>
      <c r="L1989" s="137"/>
      <c r="M1989" s="137"/>
      <c r="N1989" s="137"/>
      <c r="O1989" s="137"/>
      <c r="P1989" s="137"/>
      <c r="Q1989" s="137"/>
      <c r="R1989" s="137"/>
      <c r="S1989" s="137"/>
      <c r="T1989" s="137"/>
      <c r="U1989" s="137"/>
      <c r="V1989" s="137"/>
      <c r="W1989" s="137"/>
    </row>
    <row r="1990" spans="1:23" x14ac:dyDescent="0.25">
      <c r="A1990" s="137"/>
      <c r="B1990" s="137"/>
      <c r="C1990" s="137"/>
      <c r="D1990" s="137"/>
      <c r="E1990" s="137"/>
      <c r="F1990" s="137"/>
      <c r="G1990" s="137"/>
      <c r="H1990" s="137"/>
      <c r="I1990" s="137"/>
      <c r="J1990" s="137"/>
      <c r="K1990" s="137"/>
      <c r="L1990" s="137"/>
      <c r="M1990" s="137"/>
      <c r="N1990" s="137"/>
      <c r="O1990" s="137"/>
      <c r="P1990" s="137"/>
      <c r="Q1990" s="137"/>
      <c r="R1990" s="137"/>
      <c r="S1990" s="137"/>
      <c r="T1990" s="137"/>
      <c r="U1990" s="137"/>
      <c r="V1990" s="137"/>
      <c r="W1990" s="137"/>
    </row>
    <row r="1991" spans="1:23" x14ac:dyDescent="0.25">
      <c r="A1991" s="137"/>
      <c r="B1991" s="137"/>
      <c r="C1991" s="137"/>
      <c r="D1991" s="137"/>
      <c r="E1991" s="137"/>
      <c r="F1991" s="137"/>
      <c r="G1991" s="137"/>
      <c r="H1991" s="137"/>
      <c r="I1991" s="137"/>
      <c r="J1991" s="137"/>
      <c r="K1991" s="137"/>
      <c r="L1991" s="137"/>
      <c r="M1991" s="137"/>
      <c r="N1991" s="137"/>
      <c r="O1991" s="137"/>
      <c r="P1991" s="137"/>
      <c r="Q1991" s="137"/>
      <c r="R1991" s="137"/>
      <c r="S1991" s="137"/>
      <c r="T1991" s="137"/>
      <c r="U1991" s="137"/>
      <c r="V1991" s="137"/>
      <c r="W1991" s="137"/>
    </row>
    <row r="1992" spans="1:23" x14ac:dyDescent="0.25">
      <c r="A1992" s="137"/>
      <c r="B1992" s="137"/>
      <c r="C1992" s="137"/>
      <c r="D1992" s="137"/>
      <c r="E1992" s="137"/>
      <c r="F1992" s="137"/>
      <c r="G1992" s="137"/>
      <c r="H1992" s="137"/>
      <c r="I1992" s="137"/>
      <c r="J1992" s="137"/>
      <c r="K1992" s="137"/>
      <c r="L1992" s="137"/>
      <c r="M1992" s="137"/>
      <c r="N1992" s="137"/>
      <c r="O1992" s="137"/>
      <c r="P1992" s="137"/>
      <c r="Q1992" s="137"/>
      <c r="R1992" s="137"/>
      <c r="S1992" s="137"/>
      <c r="T1992" s="137"/>
      <c r="U1992" s="137"/>
      <c r="V1992" s="137"/>
      <c r="W1992" s="137"/>
    </row>
    <row r="1993" spans="1:23" x14ac:dyDescent="0.25">
      <c r="A1993" s="137"/>
      <c r="B1993" s="137"/>
      <c r="C1993" s="137"/>
      <c r="D1993" s="137"/>
      <c r="E1993" s="137"/>
      <c r="F1993" s="137"/>
      <c r="G1993" s="137"/>
      <c r="H1993" s="137"/>
      <c r="I1993" s="137"/>
      <c r="J1993" s="137"/>
      <c r="K1993" s="137"/>
      <c r="L1993" s="137"/>
      <c r="M1993" s="137"/>
      <c r="N1993" s="137"/>
      <c r="O1993" s="137"/>
      <c r="P1993" s="137"/>
      <c r="Q1993" s="137"/>
      <c r="R1993" s="137"/>
      <c r="S1993" s="137"/>
      <c r="T1993" s="137"/>
      <c r="U1993" s="137"/>
      <c r="V1993" s="137"/>
      <c r="W1993" s="137"/>
    </row>
    <row r="1994" spans="1:23" x14ac:dyDescent="0.25">
      <c r="A1994" s="137"/>
      <c r="B1994" s="137"/>
      <c r="C1994" s="137"/>
      <c r="D1994" s="137"/>
      <c r="E1994" s="137"/>
      <c r="F1994" s="137"/>
      <c r="G1994" s="137"/>
      <c r="H1994" s="137"/>
      <c r="I1994" s="137"/>
      <c r="J1994" s="137"/>
      <c r="K1994" s="137"/>
      <c r="L1994" s="137"/>
      <c r="M1994" s="137"/>
      <c r="N1994" s="137"/>
      <c r="O1994" s="137"/>
      <c r="P1994" s="137"/>
      <c r="Q1994" s="137"/>
      <c r="R1994" s="137"/>
      <c r="S1994" s="137"/>
      <c r="T1994" s="137"/>
      <c r="U1994" s="137"/>
      <c r="V1994" s="137"/>
      <c r="W1994" s="137"/>
    </row>
    <row r="1995" spans="1:23" x14ac:dyDescent="0.25">
      <c r="A1995" s="137"/>
      <c r="B1995" s="137"/>
      <c r="C1995" s="137"/>
      <c r="D1995" s="137"/>
      <c r="E1995" s="137"/>
      <c r="F1995" s="137"/>
      <c r="G1995" s="137"/>
      <c r="H1995" s="137"/>
      <c r="I1995" s="137"/>
      <c r="J1995" s="137"/>
      <c r="K1995" s="137"/>
      <c r="L1995" s="137"/>
      <c r="M1995" s="137"/>
      <c r="N1995" s="137"/>
      <c r="O1995" s="137"/>
      <c r="P1995" s="137"/>
      <c r="Q1995" s="137"/>
      <c r="R1995" s="137"/>
      <c r="S1995" s="137"/>
      <c r="T1995" s="137"/>
      <c r="U1995" s="137"/>
      <c r="V1995" s="137"/>
      <c r="W1995" s="137"/>
    </row>
    <row r="1996" spans="1:23" x14ac:dyDescent="0.25">
      <c r="A1996" s="137"/>
      <c r="B1996" s="137"/>
      <c r="C1996" s="137"/>
      <c r="D1996" s="137"/>
      <c r="E1996" s="137"/>
      <c r="F1996" s="137"/>
      <c r="G1996" s="137"/>
      <c r="H1996" s="137"/>
      <c r="I1996" s="137"/>
      <c r="J1996" s="137"/>
      <c r="K1996" s="137"/>
      <c r="L1996" s="137"/>
      <c r="M1996" s="137"/>
      <c r="N1996" s="137"/>
      <c r="O1996" s="137"/>
      <c r="P1996" s="137"/>
      <c r="Q1996" s="137"/>
      <c r="R1996" s="137"/>
      <c r="S1996" s="137"/>
      <c r="T1996" s="137"/>
      <c r="U1996" s="137"/>
      <c r="V1996" s="137"/>
      <c r="W1996" s="137"/>
    </row>
    <row r="1997" spans="1:23" x14ac:dyDescent="0.25">
      <c r="A1997" s="137"/>
      <c r="B1997" s="137"/>
      <c r="C1997" s="137"/>
      <c r="D1997" s="137"/>
      <c r="E1997" s="137"/>
      <c r="F1997" s="137"/>
      <c r="G1997" s="137"/>
      <c r="H1997" s="137"/>
      <c r="I1997" s="137"/>
      <c r="J1997" s="137"/>
      <c r="K1997" s="137"/>
      <c r="L1997" s="137"/>
      <c r="M1997" s="137"/>
      <c r="N1997" s="137"/>
      <c r="O1997" s="137"/>
      <c r="P1997" s="137"/>
      <c r="Q1997" s="137"/>
      <c r="R1997" s="137"/>
      <c r="S1997" s="137"/>
      <c r="T1997" s="137"/>
      <c r="U1997" s="137"/>
      <c r="V1997" s="137"/>
      <c r="W1997" s="137"/>
    </row>
    <row r="1998" spans="1:23" x14ac:dyDescent="0.25">
      <c r="A1998" s="137"/>
      <c r="B1998" s="137"/>
      <c r="C1998" s="137"/>
      <c r="D1998" s="137"/>
      <c r="E1998" s="137"/>
      <c r="F1998" s="137"/>
      <c r="G1998" s="137"/>
      <c r="H1998" s="137"/>
      <c r="I1998" s="137"/>
      <c r="J1998" s="137"/>
      <c r="K1998" s="137"/>
      <c r="L1998" s="137"/>
      <c r="M1998" s="137"/>
      <c r="N1998" s="137"/>
      <c r="O1998" s="137"/>
      <c r="P1998" s="137"/>
      <c r="Q1998" s="137"/>
      <c r="R1998" s="137"/>
      <c r="S1998" s="137"/>
      <c r="T1998" s="137"/>
      <c r="U1998" s="137"/>
      <c r="V1998" s="137"/>
      <c r="W1998" s="137"/>
    </row>
    <row r="1999" spans="1:23" x14ac:dyDescent="0.25">
      <c r="A1999" s="137"/>
      <c r="B1999" s="137"/>
      <c r="C1999" s="137"/>
      <c r="D1999" s="137"/>
      <c r="E1999" s="137"/>
      <c r="F1999" s="137"/>
      <c r="G1999" s="137"/>
      <c r="H1999" s="137"/>
      <c r="I1999" s="137"/>
      <c r="J1999" s="137"/>
      <c r="K1999" s="137"/>
      <c r="L1999" s="137"/>
      <c r="M1999" s="137"/>
      <c r="N1999" s="137"/>
      <c r="O1999" s="137"/>
      <c r="P1999" s="137"/>
      <c r="Q1999" s="137"/>
      <c r="R1999" s="137"/>
      <c r="S1999" s="137"/>
      <c r="T1999" s="137"/>
      <c r="U1999" s="137"/>
      <c r="V1999" s="137"/>
      <c r="W1999" s="137"/>
    </row>
    <row r="2000" spans="1:23" x14ac:dyDescent="0.25">
      <c r="A2000" s="137"/>
      <c r="B2000" s="137"/>
      <c r="C2000" s="137"/>
      <c r="D2000" s="137"/>
      <c r="E2000" s="137"/>
      <c r="F2000" s="137"/>
      <c r="G2000" s="137"/>
      <c r="H2000" s="137"/>
      <c r="I2000" s="137"/>
      <c r="J2000" s="137"/>
      <c r="K2000" s="137"/>
      <c r="L2000" s="137"/>
      <c r="M2000" s="137"/>
      <c r="N2000" s="137"/>
      <c r="O2000" s="137"/>
      <c r="P2000" s="137"/>
      <c r="Q2000" s="137"/>
      <c r="R2000" s="137"/>
      <c r="S2000" s="137"/>
      <c r="T2000" s="137"/>
      <c r="U2000" s="137"/>
      <c r="V2000" s="137"/>
      <c r="W2000" s="137"/>
    </row>
    <row r="2001" spans="1:23" x14ac:dyDescent="0.25">
      <c r="A2001" s="137"/>
      <c r="B2001" s="137"/>
      <c r="C2001" s="137"/>
      <c r="D2001" s="137"/>
      <c r="E2001" s="137"/>
      <c r="F2001" s="137"/>
      <c r="G2001" s="137"/>
      <c r="H2001" s="137"/>
      <c r="I2001" s="137"/>
      <c r="J2001" s="137"/>
      <c r="K2001" s="137"/>
      <c r="L2001" s="137"/>
      <c r="M2001" s="137"/>
      <c r="N2001" s="137"/>
      <c r="O2001" s="137"/>
      <c r="P2001" s="137"/>
      <c r="Q2001" s="137"/>
      <c r="R2001" s="137"/>
      <c r="S2001" s="137"/>
      <c r="T2001" s="137"/>
      <c r="U2001" s="137"/>
      <c r="V2001" s="137"/>
      <c r="W2001" s="137"/>
    </row>
    <row r="2002" spans="1:23" x14ac:dyDescent="0.25">
      <c r="A2002" s="137"/>
      <c r="B2002" s="137"/>
      <c r="C2002" s="137"/>
      <c r="D2002" s="137"/>
      <c r="E2002" s="137"/>
      <c r="F2002" s="137"/>
      <c r="G2002" s="137"/>
      <c r="H2002" s="137"/>
      <c r="I2002" s="137"/>
      <c r="J2002" s="137"/>
      <c r="K2002" s="137"/>
      <c r="L2002" s="137"/>
      <c r="M2002" s="137"/>
      <c r="N2002" s="137"/>
      <c r="O2002" s="137"/>
      <c r="P2002" s="137"/>
      <c r="Q2002" s="137"/>
      <c r="R2002" s="137"/>
      <c r="S2002" s="137"/>
      <c r="T2002" s="137"/>
      <c r="U2002" s="137"/>
      <c r="V2002" s="137"/>
      <c r="W2002" s="137"/>
    </row>
    <row r="2003" spans="1:23" x14ac:dyDescent="0.25">
      <c r="A2003" s="137"/>
      <c r="B2003" s="137"/>
      <c r="C2003" s="137"/>
      <c r="D2003" s="137"/>
      <c r="E2003" s="137"/>
      <c r="F2003" s="137"/>
      <c r="G2003" s="137"/>
      <c r="H2003" s="137"/>
      <c r="I2003" s="137"/>
      <c r="J2003" s="137"/>
      <c r="K2003" s="137"/>
      <c r="L2003" s="137"/>
      <c r="M2003" s="137"/>
      <c r="N2003" s="137"/>
      <c r="O2003" s="137"/>
      <c r="P2003" s="137"/>
      <c r="Q2003" s="137"/>
      <c r="R2003" s="137"/>
      <c r="S2003" s="137"/>
      <c r="T2003" s="137"/>
      <c r="U2003" s="137"/>
      <c r="V2003" s="137"/>
      <c r="W2003" s="137"/>
    </row>
    <row r="2004" spans="1:23" x14ac:dyDescent="0.25">
      <c r="A2004" s="137"/>
      <c r="B2004" s="137"/>
      <c r="C2004" s="137"/>
      <c r="D2004" s="137"/>
      <c r="E2004" s="137"/>
      <c r="F2004" s="137"/>
      <c r="G2004" s="137"/>
      <c r="H2004" s="137"/>
      <c r="I2004" s="137"/>
      <c r="J2004" s="137"/>
      <c r="K2004" s="137"/>
      <c r="L2004" s="137"/>
      <c r="M2004" s="137"/>
      <c r="N2004" s="137"/>
      <c r="O2004" s="137"/>
      <c r="P2004" s="137"/>
      <c r="Q2004" s="137"/>
      <c r="R2004" s="137"/>
      <c r="S2004" s="137"/>
      <c r="T2004" s="137"/>
      <c r="U2004" s="137"/>
      <c r="V2004" s="137"/>
      <c r="W2004" s="137"/>
    </row>
    <row r="2005" spans="1:23" x14ac:dyDescent="0.25">
      <c r="A2005" s="137"/>
      <c r="B2005" s="137"/>
      <c r="C2005" s="137"/>
      <c r="D2005" s="137"/>
      <c r="E2005" s="137"/>
      <c r="F2005" s="137"/>
      <c r="G2005" s="137"/>
      <c r="H2005" s="137"/>
      <c r="I2005" s="137"/>
      <c r="J2005" s="137"/>
      <c r="K2005" s="137"/>
      <c r="L2005" s="137"/>
      <c r="M2005" s="137"/>
      <c r="N2005" s="137"/>
      <c r="O2005" s="137"/>
      <c r="P2005" s="137"/>
      <c r="Q2005" s="137"/>
      <c r="R2005" s="137"/>
      <c r="S2005" s="137"/>
      <c r="T2005" s="137"/>
      <c r="U2005" s="137"/>
      <c r="V2005" s="137"/>
      <c r="W2005" s="137"/>
    </row>
    <row r="2006" spans="1:23" x14ac:dyDescent="0.25">
      <c r="A2006" s="137"/>
      <c r="B2006" s="137"/>
      <c r="C2006" s="137"/>
      <c r="D2006" s="137"/>
      <c r="E2006" s="137"/>
      <c r="F2006" s="137"/>
      <c r="G2006" s="137"/>
      <c r="H2006" s="137"/>
      <c r="I2006" s="137"/>
      <c r="J2006" s="137"/>
      <c r="K2006" s="137"/>
      <c r="L2006" s="137"/>
      <c r="M2006" s="137"/>
      <c r="N2006" s="137"/>
      <c r="O2006" s="137"/>
      <c r="P2006" s="137"/>
      <c r="Q2006" s="137"/>
      <c r="R2006" s="137"/>
      <c r="S2006" s="137"/>
      <c r="T2006" s="137"/>
      <c r="U2006" s="137"/>
      <c r="V2006" s="137"/>
      <c r="W2006" s="137"/>
    </row>
    <row r="2007" spans="1:23" x14ac:dyDescent="0.25">
      <c r="A2007" s="137"/>
      <c r="B2007" s="137"/>
      <c r="C2007" s="137"/>
      <c r="D2007" s="137"/>
      <c r="E2007" s="137"/>
      <c r="F2007" s="137"/>
      <c r="G2007" s="137"/>
      <c r="H2007" s="137"/>
      <c r="I2007" s="137"/>
      <c r="J2007" s="137"/>
      <c r="K2007" s="137"/>
      <c r="L2007" s="137"/>
      <c r="M2007" s="137"/>
      <c r="N2007" s="137"/>
      <c r="O2007" s="137"/>
      <c r="P2007" s="137"/>
      <c r="Q2007" s="137"/>
      <c r="R2007" s="137"/>
      <c r="S2007" s="137"/>
      <c r="T2007" s="137"/>
      <c r="U2007" s="137"/>
      <c r="V2007" s="137"/>
      <c r="W2007" s="137"/>
    </row>
    <row r="2008" spans="1:23" x14ac:dyDescent="0.25">
      <c r="A2008" s="137"/>
      <c r="B2008" s="137"/>
      <c r="C2008" s="137"/>
      <c r="D2008" s="137"/>
      <c r="E2008" s="137"/>
      <c r="F2008" s="137"/>
      <c r="G2008" s="137"/>
      <c r="H2008" s="137"/>
      <c r="I2008" s="137"/>
      <c r="J2008" s="137"/>
      <c r="K2008" s="137"/>
      <c r="L2008" s="137"/>
      <c r="M2008" s="137"/>
      <c r="N2008" s="137"/>
      <c r="O2008" s="137"/>
      <c r="P2008" s="137"/>
      <c r="Q2008" s="137"/>
      <c r="R2008" s="137"/>
      <c r="S2008" s="137"/>
      <c r="T2008" s="137"/>
      <c r="U2008" s="137"/>
      <c r="V2008" s="137"/>
      <c r="W2008" s="137"/>
    </row>
    <row r="2009" spans="1:23" x14ac:dyDescent="0.25">
      <c r="A2009" s="137"/>
      <c r="B2009" s="137"/>
      <c r="C2009" s="137"/>
      <c r="D2009" s="137"/>
      <c r="E2009" s="137"/>
      <c r="F2009" s="137"/>
      <c r="G2009" s="137"/>
      <c r="H2009" s="137"/>
      <c r="I2009" s="137"/>
      <c r="J2009" s="137"/>
      <c r="K2009" s="137"/>
      <c r="L2009" s="137"/>
      <c r="M2009" s="137"/>
      <c r="N2009" s="137"/>
      <c r="O2009" s="137"/>
      <c r="P2009" s="137"/>
      <c r="Q2009" s="137"/>
      <c r="R2009" s="137"/>
      <c r="S2009" s="137"/>
      <c r="T2009" s="137"/>
      <c r="U2009" s="137"/>
      <c r="V2009" s="137"/>
      <c r="W2009" s="137"/>
    </row>
    <row r="2010" spans="1:23" x14ac:dyDescent="0.25">
      <c r="A2010" s="137"/>
      <c r="B2010" s="137"/>
      <c r="C2010" s="137"/>
      <c r="D2010" s="137"/>
      <c r="E2010" s="137"/>
      <c r="F2010" s="137"/>
      <c r="G2010" s="137"/>
      <c r="H2010" s="137"/>
      <c r="I2010" s="137"/>
      <c r="J2010" s="137"/>
      <c r="K2010" s="137"/>
      <c r="L2010" s="137"/>
      <c r="M2010" s="137"/>
      <c r="N2010" s="137"/>
      <c r="O2010" s="137"/>
      <c r="P2010" s="137"/>
      <c r="Q2010" s="137"/>
      <c r="R2010" s="137"/>
      <c r="S2010" s="137"/>
      <c r="T2010" s="137"/>
      <c r="U2010" s="137"/>
      <c r="V2010" s="137"/>
      <c r="W2010" s="137"/>
    </row>
    <row r="2011" spans="1:23" x14ac:dyDescent="0.25">
      <c r="A2011" s="137"/>
      <c r="B2011" s="137"/>
      <c r="C2011" s="137"/>
      <c r="D2011" s="137"/>
      <c r="E2011" s="137"/>
      <c r="F2011" s="137"/>
      <c r="G2011" s="137"/>
      <c r="H2011" s="137"/>
      <c r="I2011" s="137"/>
      <c r="J2011" s="137"/>
      <c r="K2011" s="137"/>
      <c r="L2011" s="137"/>
      <c r="M2011" s="137"/>
      <c r="N2011" s="137"/>
      <c r="O2011" s="137"/>
      <c r="P2011" s="137"/>
      <c r="Q2011" s="137"/>
      <c r="R2011" s="137"/>
      <c r="S2011" s="137"/>
      <c r="T2011" s="137"/>
      <c r="U2011" s="137"/>
      <c r="V2011" s="137"/>
      <c r="W2011" s="137"/>
    </row>
    <row r="2012" spans="1:23" x14ac:dyDescent="0.25">
      <c r="A2012" s="137"/>
      <c r="B2012" s="137"/>
      <c r="C2012" s="137"/>
      <c r="D2012" s="137"/>
      <c r="E2012" s="137"/>
      <c r="F2012" s="137"/>
      <c r="G2012" s="137"/>
      <c r="H2012" s="137"/>
      <c r="I2012" s="137"/>
      <c r="J2012" s="137"/>
      <c r="K2012" s="137"/>
      <c r="L2012" s="137"/>
      <c r="M2012" s="137"/>
      <c r="N2012" s="137"/>
      <c r="O2012" s="137"/>
      <c r="P2012" s="137"/>
      <c r="Q2012" s="137"/>
      <c r="R2012" s="137"/>
      <c r="S2012" s="137"/>
      <c r="T2012" s="137"/>
      <c r="U2012" s="137"/>
      <c r="V2012" s="137"/>
      <c r="W2012" s="137"/>
    </row>
    <row r="2013" spans="1:23" x14ac:dyDescent="0.25">
      <c r="A2013" s="137"/>
      <c r="B2013" s="137"/>
      <c r="C2013" s="137"/>
      <c r="D2013" s="137"/>
      <c r="E2013" s="137"/>
      <c r="F2013" s="137"/>
      <c r="G2013" s="137"/>
      <c r="H2013" s="137"/>
      <c r="I2013" s="137"/>
      <c r="J2013" s="137"/>
      <c r="K2013" s="137"/>
      <c r="L2013" s="137"/>
      <c r="M2013" s="137"/>
      <c r="N2013" s="137"/>
      <c r="O2013" s="137"/>
      <c r="P2013" s="137"/>
      <c r="Q2013" s="137"/>
      <c r="R2013" s="137"/>
      <c r="S2013" s="137"/>
      <c r="T2013" s="137"/>
      <c r="U2013" s="137"/>
      <c r="V2013" s="137"/>
      <c r="W2013" s="137"/>
    </row>
    <row r="2014" spans="1:23" x14ac:dyDescent="0.25">
      <c r="A2014" s="137"/>
      <c r="B2014" s="137"/>
      <c r="C2014" s="137"/>
      <c r="D2014" s="137"/>
      <c r="E2014" s="137"/>
      <c r="F2014" s="137"/>
      <c r="G2014" s="137"/>
      <c r="H2014" s="137"/>
      <c r="I2014" s="137"/>
      <c r="J2014" s="137"/>
      <c r="K2014" s="137"/>
      <c r="L2014" s="137"/>
      <c r="M2014" s="137"/>
      <c r="N2014" s="137"/>
      <c r="O2014" s="137"/>
      <c r="P2014" s="137"/>
      <c r="Q2014" s="137"/>
      <c r="R2014" s="137"/>
      <c r="S2014" s="137"/>
      <c r="T2014" s="137"/>
      <c r="U2014" s="137"/>
      <c r="V2014" s="137"/>
      <c r="W2014" s="137"/>
    </row>
    <row r="2015" spans="1:23" x14ac:dyDescent="0.25">
      <c r="A2015" s="137"/>
      <c r="B2015" s="137"/>
      <c r="C2015" s="137"/>
      <c r="D2015" s="137"/>
      <c r="E2015" s="137"/>
      <c r="F2015" s="137"/>
      <c r="G2015" s="137"/>
      <c r="H2015" s="137"/>
      <c r="I2015" s="137"/>
      <c r="J2015" s="137"/>
      <c r="K2015" s="137"/>
      <c r="L2015" s="137"/>
      <c r="M2015" s="137"/>
      <c r="N2015" s="137"/>
      <c r="O2015" s="137"/>
      <c r="P2015" s="137"/>
      <c r="Q2015" s="137"/>
      <c r="R2015" s="137"/>
      <c r="S2015" s="137"/>
      <c r="T2015" s="137"/>
      <c r="U2015" s="137"/>
      <c r="V2015" s="137"/>
      <c r="W2015" s="137"/>
    </row>
    <row r="2016" spans="1:23" x14ac:dyDescent="0.25">
      <c r="A2016" s="137"/>
      <c r="B2016" s="137"/>
      <c r="C2016" s="137"/>
      <c r="D2016" s="137"/>
      <c r="E2016" s="137"/>
      <c r="F2016" s="137"/>
      <c r="G2016" s="137"/>
      <c r="H2016" s="137"/>
      <c r="I2016" s="137"/>
      <c r="J2016" s="137"/>
      <c r="K2016" s="137"/>
      <c r="L2016" s="137"/>
      <c r="M2016" s="137"/>
      <c r="N2016" s="137"/>
      <c r="O2016" s="137"/>
      <c r="P2016" s="137"/>
      <c r="Q2016" s="137"/>
      <c r="R2016" s="137"/>
      <c r="S2016" s="137"/>
      <c r="T2016" s="137"/>
      <c r="U2016" s="137"/>
      <c r="V2016" s="137"/>
      <c r="W2016" s="137"/>
    </row>
    <row r="2017" spans="1:23" x14ac:dyDescent="0.25">
      <c r="A2017" s="137"/>
      <c r="B2017" s="137"/>
      <c r="C2017" s="137"/>
      <c r="D2017" s="137"/>
      <c r="E2017" s="137"/>
      <c r="F2017" s="137"/>
      <c r="G2017" s="137"/>
      <c r="H2017" s="137"/>
      <c r="I2017" s="137"/>
      <c r="J2017" s="137"/>
      <c r="K2017" s="137"/>
      <c r="L2017" s="137"/>
      <c r="M2017" s="137"/>
      <c r="N2017" s="137"/>
      <c r="O2017" s="137"/>
      <c r="P2017" s="137"/>
      <c r="Q2017" s="137"/>
      <c r="R2017" s="137"/>
      <c r="S2017" s="137"/>
      <c r="T2017" s="137"/>
      <c r="U2017" s="137"/>
      <c r="V2017" s="137"/>
      <c r="W2017" s="137"/>
    </row>
    <row r="2018" spans="1:23" x14ac:dyDescent="0.25">
      <c r="A2018" s="137"/>
      <c r="B2018" s="137"/>
      <c r="C2018" s="137"/>
      <c r="D2018" s="137"/>
      <c r="E2018" s="137"/>
      <c r="F2018" s="137"/>
      <c r="G2018" s="137"/>
      <c r="H2018" s="137"/>
      <c r="I2018" s="137"/>
      <c r="J2018" s="137"/>
      <c r="K2018" s="137"/>
      <c r="L2018" s="137"/>
      <c r="M2018" s="137"/>
      <c r="N2018" s="137"/>
      <c r="O2018" s="137"/>
      <c r="P2018" s="137"/>
      <c r="Q2018" s="137"/>
      <c r="R2018" s="137"/>
      <c r="S2018" s="137"/>
      <c r="T2018" s="137"/>
      <c r="U2018" s="137"/>
      <c r="V2018" s="137"/>
      <c r="W2018" s="137"/>
    </row>
    <row r="2019" spans="1:23" x14ac:dyDescent="0.25">
      <c r="A2019" s="137"/>
      <c r="B2019" s="137"/>
      <c r="C2019" s="137"/>
      <c r="D2019" s="137"/>
      <c r="E2019" s="137"/>
      <c r="F2019" s="137"/>
      <c r="G2019" s="137"/>
      <c r="H2019" s="137"/>
      <c r="I2019" s="137"/>
      <c r="J2019" s="137"/>
      <c r="K2019" s="137"/>
      <c r="L2019" s="137"/>
      <c r="M2019" s="137"/>
      <c r="N2019" s="137"/>
      <c r="O2019" s="137"/>
      <c r="P2019" s="137"/>
      <c r="Q2019" s="137"/>
      <c r="R2019" s="137"/>
      <c r="S2019" s="137"/>
      <c r="T2019" s="137"/>
      <c r="U2019" s="137"/>
      <c r="V2019" s="137"/>
      <c r="W2019" s="137"/>
    </row>
    <row r="2020" spans="1:23" x14ac:dyDescent="0.25">
      <c r="A2020" s="137"/>
      <c r="B2020" s="137"/>
      <c r="C2020" s="137"/>
      <c r="D2020" s="137"/>
      <c r="E2020" s="137"/>
      <c r="F2020" s="137"/>
      <c r="G2020" s="137"/>
      <c r="H2020" s="137"/>
      <c r="I2020" s="137"/>
      <c r="J2020" s="137"/>
      <c r="K2020" s="137"/>
      <c r="L2020" s="137"/>
      <c r="M2020" s="137"/>
      <c r="N2020" s="137"/>
      <c r="O2020" s="137"/>
      <c r="P2020" s="137"/>
      <c r="Q2020" s="137"/>
      <c r="R2020" s="137"/>
      <c r="S2020" s="137"/>
      <c r="T2020" s="137"/>
      <c r="U2020" s="137"/>
      <c r="V2020" s="137"/>
      <c r="W2020" s="137"/>
    </row>
    <row r="2021" spans="1:23" x14ac:dyDescent="0.25">
      <c r="A2021" s="137"/>
      <c r="B2021" s="137"/>
      <c r="C2021" s="137"/>
      <c r="D2021" s="137"/>
      <c r="E2021" s="137"/>
      <c r="F2021" s="137"/>
      <c r="G2021" s="137"/>
      <c r="H2021" s="137"/>
      <c r="I2021" s="137"/>
      <c r="J2021" s="137"/>
      <c r="K2021" s="137"/>
      <c r="L2021" s="137"/>
      <c r="M2021" s="137"/>
      <c r="N2021" s="137"/>
      <c r="O2021" s="137"/>
      <c r="P2021" s="137"/>
      <c r="Q2021" s="137"/>
      <c r="R2021" s="137"/>
      <c r="S2021" s="137"/>
      <c r="T2021" s="137"/>
      <c r="U2021" s="137"/>
      <c r="V2021" s="137"/>
      <c r="W2021" s="137"/>
    </row>
    <row r="2022" spans="1:23" x14ac:dyDescent="0.25">
      <c r="A2022" s="137"/>
      <c r="B2022" s="137"/>
      <c r="C2022" s="137"/>
      <c r="D2022" s="137"/>
      <c r="E2022" s="137"/>
      <c r="F2022" s="137"/>
      <c r="G2022" s="137"/>
      <c r="H2022" s="137"/>
      <c r="I2022" s="137"/>
      <c r="J2022" s="137"/>
      <c r="K2022" s="137"/>
      <c r="L2022" s="137"/>
      <c r="M2022" s="137"/>
      <c r="N2022" s="137"/>
      <c r="O2022" s="137"/>
      <c r="P2022" s="137"/>
      <c r="Q2022" s="137"/>
      <c r="R2022" s="137"/>
      <c r="S2022" s="137"/>
      <c r="T2022" s="137"/>
      <c r="U2022" s="137"/>
      <c r="V2022" s="137"/>
      <c r="W2022" s="137"/>
    </row>
    <row r="2023" spans="1:23" x14ac:dyDescent="0.25">
      <c r="A2023" s="137"/>
      <c r="B2023" s="137"/>
      <c r="C2023" s="137"/>
      <c r="D2023" s="137"/>
      <c r="E2023" s="137"/>
      <c r="F2023" s="137"/>
      <c r="G2023" s="137"/>
      <c r="H2023" s="137"/>
      <c r="I2023" s="137"/>
      <c r="J2023" s="137"/>
      <c r="K2023" s="137"/>
      <c r="L2023" s="137"/>
      <c r="M2023" s="137"/>
      <c r="N2023" s="137"/>
      <c r="O2023" s="137"/>
      <c r="P2023" s="137"/>
      <c r="Q2023" s="137"/>
      <c r="R2023" s="137"/>
      <c r="S2023" s="137"/>
      <c r="T2023" s="137"/>
      <c r="U2023" s="137"/>
      <c r="V2023" s="137"/>
      <c r="W2023" s="137"/>
    </row>
    <row r="2024" spans="1:23" x14ac:dyDescent="0.25">
      <c r="A2024" s="137"/>
      <c r="B2024" s="137"/>
      <c r="C2024" s="137"/>
      <c r="D2024" s="137"/>
      <c r="E2024" s="137"/>
      <c r="F2024" s="137"/>
      <c r="G2024" s="137"/>
      <c r="H2024" s="137"/>
      <c r="I2024" s="137"/>
      <c r="J2024" s="137"/>
      <c r="K2024" s="137"/>
      <c r="L2024" s="137"/>
      <c r="M2024" s="137"/>
      <c r="N2024" s="137"/>
      <c r="O2024" s="137"/>
      <c r="P2024" s="137"/>
      <c r="Q2024" s="137"/>
      <c r="R2024" s="137"/>
      <c r="S2024" s="137"/>
      <c r="T2024" s="137"/>
      <c r="U2024" s="137"/>
      <c r="V2024" s="137"/>
      <c r="W2024" s="137"/>
    </row>
    <row r="2025" spans="1:23" x14ac:dyDescent="0.25">
      <c r="A2025" s="137"/>
      <c r="B2025" s="137"/>
      <c r="C2025" s="137"/>
      <c r="D2025" s="137"/>
      <c r="E2025" s="137"/>
      <c r="F2025" s="137"/>
      <c r="G2025" s="137"/>
      <c r="H2025" s="137"/>
      <c r="I2025" s="137"/>
      <c r="J2025" s="137"/>
      <c r="K2025" s="137"/>
      <c r="L2025" s="137"/>
      <c r="M2025" s="137"/>
      <c r="N2025" s="137"/>
      <c r="O2025" s="137"/>
      <c r="P2025" s="137"/>
      <c r="Q2025" s="137"/>
      <c r="R2025" s="137"/>
      <c r="S2025" s="137"/>
      <c r="T2025" s="137"/>
      <c r="U2025" s="137"/>
      <c r="V2025" s="137"/>
      <c r="W2025" s="137"/>
    </row>
    <row r="2026" spans="1:23" x14ac:dyDescent="0.25">
      <c r="A2026" s="137"/>
      <c r="B2026" s="137"/>
      <c r="C2026" s="137"/>
      <c r="D2026" s="137"/>
      <c r="E2026" s="137"/>
      <c r="F2026" s="137"/>
      <c r="G2026" s="137"/>
      <c r="H2026" s="137"/>
      <c r="I2026" s="137"/>
      <c r="J2026" s="137"/>
      <c r="K2026" s="137"/>
      <c r="L2026" s="137"/>
      <c r="M2026" s="137"/>
      <c r="N2026" s="137"/>
      <c r="O2026" s="137"/>
      <c r="P2026" s="137"/>
      <c r="Q2026" s="137"/>
      <c r="R2026" s="137"/>
      <c r="S2026" s="137"/>
      <c r="T2026" s="137"/>
      <c r="U2026" s="137"/>
      <c r="V2026" s="137"/>
      <c r="W2026" s="137"/>
    </row>
    <row r="2027" spans="1:23" x14ac:dyDescent="0.25">
      <c r="A2027" s="137"/>
      <c r="B2027" s="137"/>
      <c r="C2027" s="137"/>
      <c r="D2027" s="137"/>
      <c r="E2027" s="137"/>
      <c r="F2027" s="137"/>
      <c r="G2027" s="137"/>
      <c r="H2027" s="137"/>
      <c r="I2027" s="137"/>
      <c r="J2027" s="137"/>
      <c r="K2027" s="137"/>
      <c r="L2027" s="137"/>
      <c r="M2027" s="137"/>
      <c r="N2027" s="137"/>
      <c r="O2027" s="137"/>
      <c r="P2027" s="137"/>
      <c r="Q2027" s="137"/>
      <c r="R2027" s="137"/>
      <c r="S2027" s="137"/>
      <c r="T2027" s="137"/>
      <c r="U2027" s="137"/>
      <c r="V2027" s="137"/>
      <c r="W2027" s="137"/>
    </row>
    <row r="2028" spans="1:23" x14ac:dyDescent="0.25">
      <c r="A2028" s="137"/>
      <c r="B2028" s="137"/>
      <c r="C2028" s="137"/>
      <c r="D2028" s="137"/>
      <c r="E2028" s="137"/>
      <c r="F2028" s="137"/>
      <c r="G2028" s="137"/>
      <c r="H2028" s="137"/>
      <c r="I2028" s="137"/>
      <c r="J2028" s="137"/>
      <c r="K2028" s="137"/>
      <c r="L2028" s="137"/>
      <c r="M2028" s="137"/>
      <c r="N2028" s="137"/>
      <c r="O2028" s="137"/>
      <c r="P2028" s="137"/>
      <c r="Q2028" s="137"/>
      <c r="R2028" s="137"/>
      <c r="S2028" s="137"/>
      <c r="T2028" s="137"/>
      <c r="U2028" s="137"/>
      <c r="V2028" s="137"/>
      <c r="W2028" s="137"/>
    </row>
    <row r="2029" spans="1:23" x14ac:dyDescent="0.25">
      <c r="A2029" s="137"/>
      <c r="B2029" s="137"/>
      <c r="C2029" s="137"/>
      <c r="D2029" s="137"/>
      <c r="E2029" s="137"/>
      <c r="F2029" s="137"/>
      <c r="G2029" s="137"/>
      <c r="H2029" s="137"/>
      <c r="I2029" s="137"/>
      <c r="J2029" s="137"/>
      <c r="K2029" s="137"/>
      <c r="L2029" s="137"/>
      <c r="M2029" s="137"/>
      <c r="N2029" s="137"/>
      <c r="O2029" s="137"/>
      <c r="P2029" s="137"/>
      <c r="Q2029" s="137"/>
      <c r="R2029" s="137"/>
      <c r="S2029" s="137"/>
      <c r="T2029" s="137"/>
      <c r="U2029" s="137"/>
      <c r="V2029" s="137"/>
      <c r="W2029" s="137"/>
    </row>
    <row r="2030" spans="1:23" x14ac:dyDescent="0.25">
      <c r="A2030" s="137"/>
      <c r="B2030" s="137"/>
      <c r="C2030" s="137"/>
      <c r="D2030" s="137"/>
      <c r="E2030" s="137"/>
      <c r="F2030" s="137"/>
      <c r="G2030" s="137"/>
      <c r="H2030" s="137"/>
      <c r="I2030" s="137"/>
      <c r="J2030" s="137"/>
      <c r="K2030" s="137"/>
      <c r="L2030" s="137"/>
      <c r="M2030" s="137"/>
      <c r="N2030" s="137"/>
      <c r="O2030" s="137"/>
      <c r="P2030" s="137"/>
      <c r="Q2030" s="137"/>
      <c r="R2030" s="137"/>
      <c r="S2030" s="137"/>
      <c r="T2030" s="137"/>
      <c r="U2030" s="137"/>
      <c r="V2030" s="137"/>
      <c r="W2030" s="137"/>
    </row>
    <row r="2031" spans="1:23" x14ac:dyDescent="0.25">
      <c r="A2031" s="137"/>
      <c r="B2031" s="137"/>
      <c r="C2031" s="137"/>
      <c r="D2031" s="137"/>
      <c r="E2031" s="137"/>
      <c r="F2031" s="137"/>
      <c r="G2031" s="137"/>
      <c r="H2031" s="137"/>
      <c r="I2031" s="137"/>
      <c r="J2031" s="137"/>
      <c r="K2031" s="137"/>
      <c r="L2031" s="137"/>
      <c r="M2031" s="137"/>
      <c r="N2031" s="137"/>
      <c r="O2031" s="137"/>
      <c r="P2031" s="137"/>
      <c r="Q2031" s="137"/>
      <c r="R2031" s="137"/>
      <c r="S2031" s="137"/>
      <c r="T2031" s="137"/>
      <c r="U2031" s="137"/>
      <c r="V2031" s="137"/>
      <c r="W2031" s="137"/>
    </row>
    <row r="2032" spans="1:23" x14ac:dyDescent="0.25">
      <c r="A2032" s="137"/>
      <c r="B2032" s="137"/>
      <c r="C2032" s="137"/>
      <c r="D2032" s="137"/>
      <c r="E2032" s="137"/>
      <c r="F2032" s="137"/>
      <c r="G2032" s="137"/>
      <c r="H2032" s="137"/>
      <c r="I2032" s="137"/>
      <c r="J2032" s="137"/>
      <c r="K2032" s="137"/>
      <c r="L2032" s="137"/>
      <c r="M2032" s="137"/>
      <c r="N2032" s="137"/>
      <c r="O2032" s="137"/>
      <c r="P2032" s="137"/>
      <c r="Q2032" s="137"/>
      <c r="R2032" s="137"/>
      <c r="S2032" s="137"/>
      <c r="T2032" s="137"/>
      <c r="U2032" s="137"/>
      <c r="V2032" s="137"/>
      <c r="W2032" s="137"/>
    </row>
    <row r="2033" spans="1:23" x14ac:dyDescent="0.25">
      <c r="A2033" s="137"/>
      <c r="B2033" s="137"/>
      <c r="C2033" s="137"/>
      <c r="D2033" s="137"/>
      <c r="E2033" s="137"/>
      <c r="F2033" s="137"/>
      <c r="G2033" s="137"/>
      <c r="H2033" s="137"/>
      <c r="I2033" s="137"/>
      <c r="J2033" s="137"/>
      <c r="K2033" s="137"/>
      <c r="L2033" s="137"/>
      <c r="M2033" s="137"/>
      <c r="N2033" s="137"/>
      <c r="O2033" s="137"/>
      <c r="P2033" s="137"/>
      <c r="Q2033" s="137"/>
      <c r="R2033" s="137"/>
      <c r="S2033" s="137"/>
      <c r="T2033" s="137"/>
      <c r="U2033" s="137"/>
      <c r="V2033" s="137"/>
      <c r="W2033" s="137"/>
    </row>
    <row r="2034" spans="1:23" x14ac:dyDescent="0.25">
      <c r="A2034" s="137"/>
      <c r="B2034" s="137"/>
      <c r="C2034" s="137"/>
      <c r="D2034" s="137"/>
      <c r="E2034" s="137"/>
      <c r="F2034" s="137"/>
      <c r="G2034" s="137"/>
      <c r="H2034" s="137"/>
      <c r="I2034" s="137"/>
      <c r="J2034" s="137"/>
      <c r="K2034" s="137"/>
      <c r="L2034" s="137"/>
      <c r="M2034" s="137"/>
      <c r="N2034" s="137"/>
      <c r="O2034" s="137"/>
      <c r="P2034" s="137"/>
      <c r="Q2034" s="137"/>
      <c r="R2034" s="137"/>
      <c r="S2034" s="137"/>
      <c r="T2034" s="137"/>
      <c r="U2034" s="137"/>
      <c r="V2034" s="137"/>
      <c r="W2034" s="137"/>
    </row>
    <row r="2035" spans="1:23" x14ac:dyDescent="0.25">
      <c r="A2035" s="137"/>
      <c r="B2035" s="137"/>
      <c r="C2035" s="137"/>
      <c r="D2035" s="137"/>
      <c r="E2035" s="137"/>
      <c r="F2035" s="137"/>
      <c r="G2035" s="137"/>
      <c r="H2035" s="137"/>
      <c r="I2035" s="137"/>
      <c r="J2035" s="137"/>
      <c r="K2035" s="137"/>
      <c r="L2035" s="137"/>
      <c r="M2035" s="137"/>
      <c r="N2035" s="137"/>
      <c r="O2035" s="137"/>
      <c r="P2035" s="137"/>
      <c r="Q2035" s="137"/>
      <c r="R2035" s="137"/>
      <c r="S2035" s="137"/>
      <c r="T2035" s="137"/>
      <c r="U2035" s="137"/>
      <c r="V2035" s="137"/>
      <c r="W2035" s="137"/>
    </row>
    <row r="2036" spans="1:23" x14ac:dyDescent="0.25">
      <c r="A2036" s="137"/>
      <c r="B2036" s="137"/>
      <c r="C2036" s="137"/>
      <c r="D2036" s="137"/>
      <c r="E2036" s="137"/>
      <c r="F2036" s="137"/>
      <c r="G2036" s="137"/>
      <c r="H2036" s="137"/>
      <c r="I2036" s="137"/>
      <c r="J2036" s="137"/>
      <c r="K2036" s="137"/>
      <c r="L2036" s="137"/>
      <c r="M2036" s="137"/>
      <c r="N2036" s="137"/>
      <c r="O2036" s="137"/>
      <c r="P2036" s="137"/>
      <c r="Q2036" s="137"/>
      <c r="R2036" s="137"/>
      <c r="S2036" s="137"/>
      <c r="T2036" s="137"/>
      <c r="U2036" s="137"/>
      <c r="V2036" s="137"/>
      <c r="W2036" s="137"/>
    </row>
    <row r="2037" spans="1:23" x14ac:dyDescent="0.25">
      <c r="A2037" s="137"/>
      <c r="B2037" s="137"/>
      <c r="C2037" s="137"/>
      <c r="D2037" s="137"/>
      <c r="E2037" s="137"/>
      <c r="F2037" s="137"/>
      <c r="G2037" s="137"/>
      <c r="H2037" s="137"/>
      <c r="I2037" s="137"/>
      <c r="J2037" s="137"/>
      <c r="K2037" s="137"/>
      <c r="L2037" s="137"/>
      <c r="M2037" s="137"/>
      <c r="N2037" s="137"/>
      <c r="O2037" s="137"/>
      <c r="P2037" s="137"/>
      <c r="Q2037" s="137"/>
      <c r="R2037" s="137"/>
      <c r="S2037" s="137"/>
      <c r="T2037" s="137"/>
      <c r="U2037" s="137"/>
      <c r="V2037" s="137"/>
      <c r="W2037" s="137"/>
    </row>
    <row r="2038" spans="1:23" x14ac:dyDescent="0.25">
      <c r="A2038" s="137"/>
      <c r="B2038" s="137"/>
      <c r="C2038" s="137"/>
      <c r="D2038" s="137"/>
      <c r="E2038" s="137"/>
      <c r="F2038" s="137"/>
      <c r="G2038" s="137"/>
      <c r="H2038" s="137"/>
      <c r="I2038" s="137"/>
      <c r="J2038" s="137"/>
      <c r="K2038" s="137"/>
      <c r="L2038" s="137"/>
      <c r="M2038" s="137"/>
      <c r="N2038" s="137"/>
      <c r="O2038" s="137"/>
      <c r="P2038" s="137"/>
      <c r="Q2038" s="137"/>
      <c r="R2038" s="137"/>
      <c r="S2038" s="137"/>
      <c r="T2038" s="137"/>
      <c r="U2038" s="137"/>
      <c r="V2038" s="137"/>
      <c r="W2038" s="137"/>
    </row>
    <row r="2039" spans="1:23" x14ac:dyDescent="0.25">
      <c r="A2039" s="137"/>
      <c r="B2039" s="137"/>
      <c r="C2039" s="137"/>
      <c r="D2039" s="137"/>
      <c r="E2039" s="137"/>
      <c r="F2039" s="137"/>
      <c r="G2039" s="137"/>
      <c r="H2039" s="137"/>
      <c r="I2039" s="137"/>
      <c r="J2039" s="137"/>
      <c r="K2039" s="137"/>
      <c r="L2039" s="137"/>
      <c r="M2039" s="137"/>
      <c r="N2039" s="137"/>
      <c r="O2039" s="137"/>
      <c r="P2039" s="137"/>
      <c r="Q2039" s="137"/>
      <c r="R2039" s="137"/>
      <c r="S2039" s="137"/>
      <c r="T2039" s="137"/>
      <c r="U2039" s="137"/>
      <c r="V2039" s="137"/>
      <c r="W2039" s="137"/>
    </row>
    <row r="2040" spans="1:23" x14ac:dyDescent="0.25">
      <c r="A2040" s="137"/>
      <c r="B2040" s="137"/>
      <c r="C2040" s="137"/>
      <c r="D2040" s="137"/>
      <c r="E2040" s="137"/>
      <c r="F2040" s="137"/>
      <c r="G2040" s="137"/>
      <c r="H2040" s="137"/>
      <c r="I2040" s="137"/>
      <c r="J2040" s="137"/>
      <c r="K2040" s="137"/>
      <c r="L2040" s="137"/>
      <c r="M2040" s="137"/>
      <c r="N2040" s="137"/>
      <c r="O2040" s="137"/>
      <c r="P2040" s="137"/>
      <c r="Q2040" s="137"/>
      <c r="R2040" s="137"/>
      <c r="S2040" s="137"/>
      <c r="T2040" s="137"/>
      <c r="U2040" s="137"/>
      <c r="V2040" s="137"/>
      <c r="W2040" s="137"/>
    </row>
    <row r="2041" spans="1:23" x14ac:dyDescent="0.25">
      <c r="A2041" s="137"/>
      <c r="B2041" s="137"/>
      <c r="C2041" s="137"/>
      <c r="D2041" s="137"/>
      <c r="E2041" s="137"/>
      <c r="F2041" s="137"/>
      <c r="G2041" s="137"/>
      <c r="H2041" s="137"/>
      <c r="I2041" s="137"/>
      <c r="J2041" s="137"/>
      <c r="K2041" s="137"/>
      <c r="L2041" s="137"/>
      <c r="M2041" s="137"/>
      <c r="N2041" s="137"/>
      <c r="O2041" s="137"/>
      <c r="P2041" s="137"/>
      <c r="Q2041" s="137"/>
      <c r="R2041" s="137"/>
      <c r="S2041" s="137"/>
      <c r="T2041" s="137"/>
      <c r="U2041" s="137"/>
      <c r="V2041" s="137"/>
      <c r="W2041" s="137"/>
    </row>
    <row r="2042" spans="1:23" x14ac:dyDescent="0.25">
      <c r="A2042" s="137"/>
      <c r="B2042" s="137"/>
      <c r="C2042" s="137"/>
      <c r="D2042" s="137"/>
      <c r="E2042" s="137"/>
      <c r="F2042" s="137"/>
      <c r="G2042" s="137"/>
      <c r="H2042" s="137"/>
      <c r="I2042" s="137"/>
      <c r="J2042" s="137"/>
      <c r="K2042" s="137"/>
      <c r="L2042" s="137"/>
      <c r="M2042" s="137"/>
      <c r="N2042" s="137"/>
      <c r="O2042" s="137"/>
      <c r="P2042" s="137"/>
      <c r="Q2042" s="137"/>
      <c r="R2042" s="137"/>
      <c r="S2042" s="137"/>
      <c r="T2042" s="137"/>
      <c r="U2042" s="137"/>
      <c r="V2042" s="137"/>
      <c r="W2042" s="137"/>
    </row>
    <row r="2043" spans="1:23" x14ac:dyDescent="0.25">
      <c r="A2043" s="137"/>
      <c r="B2043" s="137"/>
      <c r="C2043" s="137"/>
      <c r="D2043" s="137"/>
      <c r="E2043" s="137"/>
      <c r="F2043" s="137"/>
      <c r="G2043" s="137"/>
      <c r="H2043" s="137"/>
      <c r="I2043" s="137"/>
      <c r="J2043" s="137"/>
      <c r="K2043" s="137"/>
      <c r="L2043" s="137"/>
      <c r="M2043" s="137"/>
      <c r="N2043" s="137"/>
      <c r="O2043" s="137"/>
      <c r="P2043" s="137"/>
      <c r="Q2043" s="137"/>
      <c r="R2043" s="137"/>
      <c r="S2043" s="137"/>
      <c r="T2043" s="137"/>
      <c r="U2043" s="137"/>
      <c r="V2043" s="137"/>
      <c r="W2043" s="137"/>
    </row>
    <row r="2044" spans="1:23" x14ac:dyDescent="0.25">
      <c r="A2044" s="137"/>
      <c r="B2044" s="137"/>
      <c r="C2044" s="137"/>
      <c r="D2044" s="137"/>
      <c r="E2044" s="137"/>
      <c r="F2044" s="137"/>
      <c r="G2044" s="137"/>
      <c r="H2044" s="137"/>
      <c r="I2044" s="137"/>
      <c r="J2044" s="137"/>
      <c r="K2044" s="137"/>
      <c r="L2044" s="137"/>
      <c r="M2044" s="137"/>
      <c r="N2044" s="137"/>
      <c r="O2044" s="137"/>
      <c r="P2044" s="137"/>
      <c r="Q2044" s="137"/>
      <c r="R2044" s="137"/>
      <c r="S2044" s="137"/>
      <c r="T2044" s="137"/>
      <c r="U2044" s="137"/>
      <c r="V2044" s="137"/>
      <c r="W2044" s="137"/>
    </row>
    <row r="2045" spans="1:23" x14ac:dyDescent="0.25">
      <c r="A2045" s="137"/>
      <c r="B2045" s="137"/>
      <c r="C2045" s="137"/>
      <c r="D2045" s="137"/>
      <c r="E2045" s="137"/>
      <c r="F2045" s="137"/>
      <c r="G2045" s="137"/>
      <c r="H2045" s="137"/>
      <c r="I2045" s="137"/>
      <c r="J2045" s="137"/>
      <c r="K2045" s="137"/>
      <c r="L2045" s="137"/>
      <c r="M2045" s="137"/>
      <c r="N2045" s="137"/>
      <c r="O2045" s="137"/>
      <c r="P2045" s="137"/>
      <c r="Q2045" s="137"/>
      <c r="R2045" s="137"/>
      <c r="S2045" s="137"/>
      <c r="T2045" s="137"/>
      <c r="U2045" s="137"/>
      <c r="V2045" s="137"/>
      <c r="W2045" s="137"/>
    </row>
    <row r="2046" spans="1:23" x14ac:dyDescent="0.25">
      <c r="A2046" s="137"/>
      <c r="B2046" s="137"/>
      <c r="C2046" s="137"/>
      <c r="D2046" s="137"/>
      <c r="E2046" s="137"/>
      <c r="F2046" s="137"/>
      <c r="G2046" s="137"/>
      <c r="H2046" s="137"/>
      <c r="I2046" s="137"/>
      <c r="J2046" s="137"/>
      <c r="K2046" s="137"/>
      <c r="L2046" s="137"/>
      <c r="M2046" s="137"/>
      <c r="N2046" s="137"/>
      <c r="O2046" s="137"/>
      <c r="P2046" s="137"/>
      <c r="Q2046" s="137"/>
      <c r="R2046" s="137"/>
      <c r="S2046" s="137"/>
      <c r="T2046" s="137"/>
      <c r="U2046" s="137"/>
      <c r="V2046" s="137"/>
      <c r="W2046" s="137"/>
    </row>
    <row r="2047" spans="1:23" x14ac:dyDescent="0.25">
      <c r="A2047" s="137"/>
      <c r="B2047" s="137"/>
      <c r="C2047" s="137"/>
      <c r="D2047" s="137"/>
      <c r="E2047" s="137"/>
      <c r="F2047" s="137"/>
      <c r="G2047" s="137"/>
      <c r="H2047" s="137"/>
      <c r="I2047" s="137"/>
      <c r="J2047" s="137"/>
      <c r="K2047" s="137"/>
      <c r="L2047" s="137"/>
      <c r="M2047" s="137"/>
      <c r="N2047" s="137"/>
      <c r="O2047" s="137"/>
      <c r="P2047" s="137"/>
      <c r="Q2047" s="137"/>
      <c r="R2047" s="137"/>
      <c r="S2047" s="137"/>
      <c r="T2047" s="137"/>
      <c r="U2047" s="137"/>
      <c r="V2047" s="137"/>
      <c r="W2047" s="137"/>
    </row>
    <row r="2048" spans="1:23" x14ac:dyDescent="0.25">
      <c r="A2048" s="137"/>
      <c r="B2048" s="137"/>
      <c r="C2048" s="137"/>
      <c r="D2048" s="137"/>
      <c r="E2048" s="137"/>
      <c r="F2048" s="137"/>
      <c r="G2048" s="137"/>
      <c r="H2048" s="137"/>
      <c r="I2048" s="137"/>
      <c r="J2048" s="137"/>
      <c r="K2048" s="137"/>
      <c r="L2048" s="137"/>
      <c r="M2048" s="137"/>
      <c r="N2048" s="137"/>
      <c r="O2048" s="137"/>
      <c r="P2048" s="137"/>
      <c r="Q2048" s="137"/>
      <c r="R2048" s="137"/>
      <c r="S2048" s="137"/>
      <c r="T2048" s="137"/>
      <c r="U2048" s="137"/>
      <c r="V2048" s="137"/>
      <c r="W2048" s="137"/>
    </row>
    <row r="2049" spans="1:23" x14ac:dyDescent="0.25">
      <c r="A2049" s="137"/>
      <c r="B2049" s="137"/>
      <c r="C2049" s="137"/>
      <c r="D2049" s="137"/>
      <c r="E2049" s="137"/>
      <c r="F2049" s="137"/>
      <c r="G2049" s="137"/>
      <c r="H2049" s="137"/>
      <c r="I2049" s="137"/>
      <c r="J2049" s="137"/>
      <c r="K2049" s="137"/>
      <c r="L2049" s="137"/>
      <c r="M2049" s="137"/>
      <c r="N2049" s="137"/>
      <c r="O2049" s="137"/>
      <c r="P2049" s="137"/>
      <c r="Q2049" s="137"/>
      <c r="R2049" s="137"/>
      <c r="S2049" s="137"/>
      <c r="T2049" s="137"/>
      <c r="U2049" s="137"/>
      <c r="V2049" s="137"/>
      <c r="W2049" s="137"/>
    </row>
    <row r="2050" spans="1:23" x14ac:dyDescent="0.25">
      <c r="A2050" s="137"/>
      <c r="B2050" s="137"/>
      <c r="C2050" s="137"/>
      <c r="D2050" s="137"/>
      <c r="E2050" s="137"/>
      <c r="F2050" s="137"/>
      <c r="G2050" s="137"/>
      <c r="H2050" s="137"/>
      <c r="I2050" s="137"/>
      <c r="J2050" s="137"/>
      <c r="K2050" s="137"/>
      <c r="L2050" s="137"/>
      <c r="M2050" s="137"/>
      <c r="N2050" s="137"/>
      <c r="O2050" s="137"/>
      <c r="P2050" s="137"/>
      <c r="Q2050" s="137"/>
      <c r="R2050" s="137"/>
      <c r="S2050" s="137"/>
      <c r="T2050" s="137"/>
      <c r="U2050" s="137"/>
      <c r="V2050" s="137"/>
      <c r="W2050" s="137"/>
    </row>
    <row r="2051" spans="1:23" x14ac:dyDescent="0.25">
      <c r="A2051" s="137"/>
      <c r="B2051" s="137"/>
      <c r="C2051" s="137"/>
      <c r="D2051" s="137"/>
      <c r="E2051" s="137"/>
      <c r="F2051" s="137"/>
      <c r="G2051" s="137"/>
      <c r="H2051" s="137"/>
      <c r="I2051" s="137"/>
      <c r="J2051" s="137"/>
      <c r="K2051" s="137"/>
      <c r="L2051" s="137"/>
      <c r="M2051" s="137"/>
      <c r="N2051" s="137"/>
      <c r="O2051" s="137"/>
      <c r="P2051" s="137"/>
      <c r="Q2051" s="137"/>
      <c r="R2051" s="137"/>
      <c r="S2051" s="137"/>
      <c r="T2051" s="137"/>
      <c r="U2051" s="137"/>
      <c r="V2051" s="137"/>
      <c r="W2051" s="137"/>
    </row>
    <row r="2052" spans="1:23" x14ac:dyDescent="0.25">
      <c r="A2052" s="137"/>
      <c r="B2052" s="137"/>
      <c r="C2052" s="137"/>
      <c r="D2052" s="137"/>
      <c r="E2052" s="137"/>
      <c r="F2052" s="137"/>
      <c r="G2052" s="137"/>
      <c r="H2052" s="137"/>
      <c r="I2052" s="137"/>
      <c r="J2052" s="137"/>
      <c r="K2052" s="137"/>
      <c r="L2052" s="137"/>
      <c r="M2052" s="137"/>
      <c r="N2052" s="137"/>
      <c r="O2052" s="137"/>
      <c r="P2052" s="137"/>
      <c r="Q2052" s="137"/>
      <c r="R2052" s="137"/>
      <c r="S2052" s="137"/>
      <c r="T2052" s="137"/>
      <c r="U2052" s="137"/>
      <c r="V2052" s="137"/>
      <c r="W2052" s="137"/>
    </row>
    <row r="2053" spans="1:23" x14ac:dyDescent="0.25">
      <c r="A2053" s="137"/>
      <c r="B2053" s="137"/>
      <c r="C2053" s="137"/>
      <c r="D2053" s="137"/>
      <c r="E2053" s="137"/>
      <c r="F2053" s="137"/>
      <c r="G2053" s="137"/>
      <c r="H2053" s="137"/>
      <c r="I2053" s="137"/>
      <c r="J2053" s="137"/>
      <c r="K2053" s="137"/>
      <c r="L2053" s="137"/>
      <c r="M2053" s="137"/>
      <c r="N2053" s="137"/>
      <c r="O2053" s="137"/>
      <c r="P2053" s="137"/>
      <c r="Q2053" s="137"/>
      <c r="R2053" s="137"/>
      <c r="S2053" s="137"/>
      <c r="T2053" s="137"/>
      <c r="U2053" s="137"/>
      <c r="V2053" s="137"/>
      <c r="W2053" s="137"/>
    </row>
    <row r="2054" spans="1:23" x14ac:dyDescent="0.25">
      <c r="A2054" s="137"/>
      <c r="B2054" s="137"/>
      <c r="C2054" s="137"/>
      <c r="D2054" s="137"/>
      <c r="E2054" s="137"/>
      <c r="F2054" s="137"/>
      <c r="G2054" s="137"/>
      <c r="H2054" s="137"/>
      <c r="I2054" s="137"/>
      <c r="J2054" s="137"/>
      <c r="K2054" s="137"/>
      <c r="L2054" s="137"/>
      <c r="M2054" s="137"/>
      <c r="N2054" s="137"/>
      <c r="O2054" s="137"/>
      <c r="P2054" s="137"/>
      <c r="Q2054" s="137"/>
      <c r="R2054" s="137"/>
      <c r="S2054" s="137"/>
      <c r="T2054" s="137"/>
      <c r="U2054" s="137"/>
      <c r="V2054" s="137"/>
      <c r="W2054" s="137"/>
    </row>
    <row r="2055" spans="1:23" x14ac:dyDescent="0.25">
      <c r="A2055" s="137"/>
      <c r="B2055" s="137"/>
      <c r="C2055" s="137"/>
      <c r="D2055" s="137"/>
      <c r="E2055" s="137"/>
      <c r="F2055" s="137"/>
      <c r="G2055" s="137"/>
      <c r="H2055" s="137"/>
      <c r="I2055" s="137"/>
      <c r="J2055" s="137"/>
      <c r="K2055" s="137"/>
      <c r="L2055" s="137"/>
      <c r="M2055" s="137"/>
      <c r="N2055" s="137"/>
      <c r="O2055" s="137"/>
      <c r="P2055" s="137"/>
      <c r="Q2055" s="137"/>
      <c r="R2055" s="137"/>
      <c r="S2055" s="137"/>
      <c r="T2055" s="137"/>
      <c r="U2055" s="137"/>
      <c r="V2055" s="137"/>
      <c r="W2055" s="137"/>
    </row>
    <row r="2056" spans="1:23" x14ac:dyDescent="0.25">
      <c r="A2056" s="137"/>
      <c r="B2056" s="137"/>
      <c r="C2056" s="137"/>
      <c r="D2056" s="137"/>
      <c r="E2056" s="137"/>
      <c r="F2056" s="137"/>
      <c r="G2056" s="137"/>
      <c r="H2056" s="137"/>
      <c r="I2056" s="137"/>
      <c r="J2056" s="137"/>
      <c r="K2056" s="137"/>
      <c r="L2056" s="137"/>
      <c r="M2056" s="137"/>
      <c r="N2056" s="137"/>
      <c r="O2056" s="137"/>
      <c r="P2056" s="137"/>
      <c r="Q2056" s="137"/>
      <c r="R2056" s="137"/>
      <c r="S2056" s="137"/>
      <c r="T2056" s="137"/>
      <c r="U2056" s="137"/>
      <c r="V2056" s="137"/>
      <c r="W2056" s="137"/>
    </row>
    <row r="2057" spans="1:23" x14ac:dyDescent="0.25">
      <c r="A2057" s="137"/>
      <c r="B2057" s="137"/>
      <c r="C2057" s="137"/>
      <c r="D2057" s="137"/>
      <c r="E2057" s="137"/>
      <c r="F2057" s="137"/>
      <c r="G2057" s="137"/>
      <c r="H2057" s="137"/>
      <c r="I2057" s="137"/>
      <c r="J2057" s="137"/>
      <c r="K2057" s="137"/>
      <c r="L2057" s="137"/>
      <c r="M2057" s="137"/>
      <c r="N2057" s="137"/>
      <c r="O2057" s="137"/>
      <c r="P2057" s="137"/>
      <c r="Q2057" s="137"/>
      <c r="R2057" s="137"/>
      <c r="S2057" s="137"/>
      <c r="T2057" s="137"/>
      <c r="U2057" s="137"/>
      <c r="V2057" s="137"/>
      <c r="W2057" s="137"/>
    </row>
    <row r="2058" spans="1:23" x14ac:dyDescent="0.25">
      <c r="A2058" s="137"/>
      <c r="B2058" s="137"/>
      <c r="C2058" s="137"/>
      <c r="D2058" s="137"/>
      <c r="E2058" s="137"/>
      <c r="F2058" s="137"/>
      <c r="G2058" s="137"/>
      <c r="H2058" s="137"/>
      <c r="I2058" s="137"/>
      <c r="J2058" s="137"/>
      <c r="K2058" s="137"/>
      <c r="L2058" s="137"/>
      <c r="M2058" s="137"/>
      <c r="N2058" s="137"/>
      <c r="O2058" s="137"/>
      <c r="P2058" s="137"/>
      <c r="Q2058" s="137"/>
      <c r="R2058" s="137"/>
      <c r="S2058" s="137"/>
      <c r="T2058" s="137"/>
      <c r="U2058" s="137"/>
      <c r="V2058" s="137"/>
      <c r="W2058" s="137"/>
    </row>
    <row r="2059" spans="1:23" x14ac:dyDescent="0.25">
      <c r="A2059" s="137"/>
      <c r="B2059" s="137"/>
      <c r="C2059" s="137"/>
      <c r="D2059" s="137"/>
      <c r="E2059" s="137"/>
      <c r="F2059" s="137"/>
      <c r="G2059" s="137"/>
      <c r="H2059" s="137"/>
      <c r="I2059" s="137"/>
      <c r="J2059" s="137"/>
      <c r="K2059" s="137"/>
      <c r="L2059" s="137"/>
      <c r="M2059" s="137"/>
      <c r="N2059" s="137"/>
      <c r="O2059" s="137"/>
      <c r="P2059" s="137"/>
      <c r="Q2059" s="137"/>
      <c r="R2059" s="137"/>
      <c r="S2059" s="137"/>
      <c r="T2059" s="137"/>
      <c r="U2059" s="137"/>
      <c r="V2059" s="137"/>
      <c r="W2059" s="137"/>
    </row>
    <row r="2060" spans="1:23" x14ac:dyDescent="0.25">
      <c r="A2060" s="137"/>
      <c r="B2060" s="137"/>
      <c r="C2060" s="137"/>
      <c r="D2060" s="137"/>
      <c r="E2060" s="137"/>
      <c r="F2060" s="137"/>
      <c r="G2060" s="137"/>
      <c r="H2060" s="137"/>
      <c r="I2060" s="137"/>
      <c r="J2060" s="137"/>
      <c r="K2060" s="137"/>
      <c r="L2060" s="137"/>
      <c r="M2060" s="137"/>
      <c r="N2060" s="137"/>
      <c r="O2060" s="137"/>
      <c r="P2060" s="137"/>
      <c r="Q2060" s="137"/>
      <c r="R2060" s="137"/>
      <c r="S2060" s="137"/>
      <c r="T2060" s="137"/>
      <c r="U2060" s="137"/>
      <c r="V2060" s="137"/>
      <c r="W2060" s="137"/>
    </row>
    <row r="2061" spans="1:23" x14ac:dyDescent="0.25">
      <c r="A2061" s="137"/>
      <c r="B2061" s="137"/>
      <c r="C2061" s="137"/>
      <c r="D2061" s="137"/>
      <c r="E2061" s="137"/>
      <c r="F2061" s="137"/>
      <c r="G2061" s="137"/>
      <c r="H2061" s="137"/>
      <c r="I2061" s="137"/>
      <c r="J2061" s="137"/>
      <c r="K2061" s="137"/>
      <c r="L2061" s="137"/>
      <c r="M2061" s="137"/>
      <c r="N2061" s="137"/>
      <c r="O2061" s="137"/>
      <c r="P2061" s="137"/>
      <c r="Q2061" s="137"/>
      <c r="R2061" s="137"/>
      <c r="S2061" s="137"/>
      <c r="T2061" s="137"/>
      <c r="U2061" s="137"/>
      <c r="V2061" s="137"/>
      <c r="W2061" s="137"/>
    </row>
    <row r="2062" spans="1:23" x14ac:dyDescent="0.25">
      <c r="A2062" s="137"/>
      <c r="B2062" s="137"/>
      <c r="C2062" s="137"/>
      <c r="D2062" s="137"/>
      <c r="E2062" s="137"/>
      <c r="F2062" s="137"/>
      <c r="G2062" s="137"/>
      <c r="H2062" s="137"/>
      <c r="I2062" s="137"/>
      <c r="J2062" s="137"/>
      <c r="K2062" s="137"/>
      <c r="L2062" s="137"/>
      <c r="M2062" s="137"/>
      <c r="N2062" s="137"/>
      <c r="O2062" s="137"/>
      <c r="P2062" s="137"/>
      <c r="Q2062" s="137"/>
      <c r="R2062" s="137"/>
      <c r="S2062" s="137"/>
      <c r="T2062" s="137"/>
      <c r="U2062" s="137"/>
      <c r="V2062" s="137"/>
      <c r="W2062" s="137"/>
    </row>
    <row r="2063" spans="1:23" x14ac:dyDescent="0.25">
      <c r="A2063" s="137"/>
      <c r="B2063" s="137"/>
      <c r="C2063" s="137"/>
      <c r="D2063" s="137"/>
      <c r="E2063" s="137"/>
      <c r="F2063" s="137"/>
      <c r="G2063" s="137"/>
      <c r="H2063" s="137"/>
      <c r="I2063" s="137"/>
      <c r="J2063" s="137"/>
      <c r="K2063" s="137"/>
      <c r="L2063" s="137"/>
      <c r="M2063" s="137"/>
      <c r="N2063" s="137"/>
      <c r="O2063" s="137"/>
      <c r="P2063" s="137"/>
      <c r="Q2063" s="137"/>
      <c r="R2063" s="137"/>
      <c r="S2063" s="137"/>
      <c r="T2063" s="137"/>
      <c r="U2063" s="137"/>
      <c r="V2063" s="137"/>
      <c r="W2063" s="137"/>
    </row>
    <row r="2064" spans="1:23" x14ac:dyDescent="0.25">
      <c r="A2064" s="137"/>
      <c r="B2064" s="137"/>
      <c r="C2064" s="137"/>
      <c r="D2064" s="137"/>
      <c r="E2064" s="137"/>
      <c r="F2064" s="137"/>
      <c r="G2064" s="137"/>
      <c r="H2064" s="137"/>
      <c r="I2064" s="137"/>
      <c r="J2064" s="137"/>
      <c r="K2064" s="137"/>
      <c r="L2064" s="137"/>
      <c r="M2064" s="137"/>
      <c r="N2064" s="137"/>
      <c r="O2064" s="137"/>
      <c r="P2064" s="137"/>
      <c r="Q2064" s="137"/>
      <c r="R2064" s="137"/>
      <c r="S2064" s="137"/>
      <c r="T2064" s="137"/>
      <c r="U2064" s="137"/>
      <c r="V2064" s="137"/>
      <c r="W2064" s="137"/>
    </row>
    <row r="2065" spans="1:23" x14ac:dyDescent="0.25">
      <c r="A2065" s="137"/>
      <c r="B2065" s="137"/>
      <c r="C2065" s="137"/>
      <c r="D2065" s="137"/>
      <c r="E2065" s="137"/>
      <c r="F2065" s="137"/>
      <c r="G2065" s="137"/>
      <c r="H2065" s="137"/>
      <c r="I2065" s="137"/>
      <c r="J2065" s="137"/>
      <c r="K2065" s="137"/>
      <c r="L2065" s="137"/>
      <c r="M2065" s="137"/>
      <c r="N2065" s="137"/>
      <c r="O2065" s="137"/>
      <c r="P2065" s="137"/>
      <c r="Q2065" s="137"/>
      <c r="R2065" s="137"/>
      <c r="S2065" s="137"/>
      <c r="T2065" s="137"/>
      <c r="U2065" s="137"/>
      <c r="V2065" s="137"/>
      <c r="W2065" s="137"/>
    </row>
    <row r="2066" spans="1:23" x14ac:dyDescent="0.25">
      <c r="A2066" s="137"/>
      <c r="B2066" s="137"/>
      <c r="C2066" s="137"/>
      <c r="D2066" s="137"/>
      <c r="E2066" s="137"/>
      <c r="F2066" s="137"/>
      <c r="G2066" s="137"/>
      <c r="H2066" s="137"/>
      <c r="I2066" s="137"/>
      <c r="J2066" s="137"/>
      <c r="K2066" s="137"/>
      <c r="L2066" s="137"/>
      <c r="M2066" s="137"/>
      <c r="N2066" s="137"/>
      <c r="O2066" s="137"/>
      <c r="P2066" s="137"/>
      <c r="Q2066" s="137"/>
      <c r="R2066" s="137"/>
      <c r="S2066" s="137"/>
      <c r="T2066" s="137"/>
      <c r="U2066" s="137"/>
      <c r="V2066" s="137"/>
      <c r="W2066" s="137"/>
    </row>
    <row r="2067" spans="1:23" x14ac:dyDescent="0.25">
      <c r="A2067" s="137"/>
      <c r="B2067" s="137"/>
      <c r="C2067" s="137"/>
      <c r="D2067" s="137"/>
      <c r="E2067" s="137"/>
      <c r="F2067" s="137"/>
      <c r="G2067" s="137"/>
      <c r="H2067" s="137"/>
      <c r="I2067" s="137"/>
      <c r="J2067" s="137"/>
      <c r="K2067" s="137"/>
      <c r="L2067" s="137"/>
      <c r="M2067" s="137"/>
      <c r="N2067" s="137"/>
      <c r="O2067" s="137"/>
      <c r="P2067" s="137"/>
      <c r="Q2067" s="137"/>
      <c r="R2067" s="137"/>
      <c r="S2067" s="137"/>
      <c r="T2067" s="137"/>
      <c r="U2067" s="137"/>
      <c r="V2067" s="137"/>
      <c r="W2067" s="137"/>
    </row>
    <row r="2068" spans="1:23" x14ac:dyDescent="0.25">
      <c r="A2068" s="137"/>
      <c r="B2068" s="137"/>
      <c r="C2068" s="137"/>
      <c r="D2068" s="137"/>
      <c r="E2068" s="137"/>
      <c r="F2068" s="137"/>
      <c r="G2068" s="137"/>
      <c r="H2068" s="137"/>
      <c r="I2068" s="137"/>
      <c r="J2068" s="137"/>
      <c r="K2068" s="137"/>
      <c r="L2068" s="137"/>
      <c r="M2068" s="137"/>
      <c r="N2068" s="137"/>
      <c r="O2068" s="137"/>
      <c r="P2068" s="137"/>
      <c r="Q2068" s="137"/>
      <c r="R2068" s="137"/>
      <c r="S2068" s="137"/>
      <c r="T2068" s="137"/>
      <c r="U2068" s="137"/>
      <c r="V2068" s="137"/>
      <c r="W2068" s="137"/>
    </row>
    <row r="2069" spans="1:23" x14ac:dyDescent="0.25">
      <c r="A2069" s="137"/>
      <c r="B2069" s="137"/>
      <c r="C2069" s="137"/>
      <c r="D2069" s="137"/>
      <c r="E2069" s="137"/>
      <c r="F2069" s="137"/>
      <c r="G2069" s="137"/>
      <c r="H2069" s="137"/>
      <c r="I2069" s="137"/>
      <c r="J2069" s="137"/>
      <c r="K2069" s="137"/>
      <c r="L2069" s="137"/>
      <c r="M2069" s="137"/>
      <c r="N2069" s="137"/>
      <c r="O2069" s="137"/>
      <c r="P2069" s="137"/>
      <c r="Q2069" s="137"/>
      <c r="R2069" s="137"/>
      <c r="S2069" s="137"/>
      <c r="T2069" s="137"/>
      <c r="U2069" s="137"/>
      <c r="V2069" s="137"/>
      <c r="W2069" s="137"/>
    </row>
    <row r="2070" spans="1:23" x14ac:dyDescent="0.25">
      <c r="A2070" s="137"/>
      <c r="B2070" s="137"/>
      <c r="C2070" s="137"/>
      <c r="D2070" s="137"/>
      <c r="E2070" s="137"/>
      <c r="F2070" s="137"/>
      <c r="G2070" s="137"/>
      <c r="H2070" s="137"/>
      <c r="I2070" s="137"/>
      <c r="J2070" s="137"/>
      <c r="K2070" s="137"/>
      <c r="L2070" s="137"/>
      <c r="M2070" s="137"/>
      <c r="N2070" s="137"/>
      <c r="O2070" s="137"/>
      <c r="P2070" s="137"/>
      <c r="Q2070" s="137"/>
      <c r="R2070" s="137"/>
      <c r="S2070" s="137"/>
      <c r="T2070" s="137"/>
      <c r="U2070" s="137"/>
      <c r="V2070" s="137"/>
      <c r="W2070" s="137"/>
    </row>
    <row r="2071" spans="1:23" x14ac:dyDescent="0.25">
      <c r="A2071" s="137"/>
      <c r="B2071" s="137"/>
      <c r="C2071" s="137"/>
      <c r="D2071" s="137"/>
      <c r="E2071" s="137"/>
      <c r="F2071" s="137"/>
      <c r="G2071" s="137"/>
      <c r="H2071" s="137"/>
      <c r="I2071" s="137"/>
      <c r="J2071" s="137"/>
      <c r="K2071" s="137"/>
      <c r="L2071" s="137"/>
      <c r="M2071" s="137"/>
      <c r="N2071" s="137"/>
      <c r="O2071" s="137"/>
      <c r="P2071" s="137"/>
      <c r="Q2071" s="137"/>
      <c r="R2071" s="137"/>
      <c r="S2071" s="137"/>
      <c r="T2071" s="137"/>
      <c r="U2071" s="137"/>
      <c r="V2071" s="137"/>
      <c r="W2071" s="137"/>
    </row>
    <row r="2072" spans="1:23" x14ac:dyDescent="0.25">
      <c r="A2072" s="137"/>
      <c r="B2072" s="137"/>
      <c r="C2072" s="137"/>
      <c r="D2072" s="137"/>
      <c r="E2072" s="137"/>
      <c r="F2072" s="137"/>
      <c r="G2072" s="137"/>
      <c r="H2072" s="137"/>
      <c r="I2072" s="137"/>
      <c r="J2072" s="137"/>
      <c r="K2072" s="137"/>
      <c r="L2072" s="137"/>
      <c r="M2072" s="137"/>
      <c r="N2072" s="137"/>
      <c r="O2072" s="137"/>
      <c r="P2072" s="137"/>
      <c r="Q2072" s="137"/>
      <c r="R2072" s="137"/>
      <c r="S2072" s="137"/>
      <c r="T2072" s="137"/>
      <c r="U2072" s="137"/>
      <c r="V2072" s="137"/>
      <c r="W2072" s="137"/>
    </row>
    <row r="2073" spans="1:23" x14ac:dyDescent="0.25">
      <c r="A2073" s="137"/>
      <c r="B2073" s="137"/>
      <c r="C2073" s="137"/>
      <c r="D2073" s="137"/>
      <c r="E2073" s="137"/>
      <c r="F2073" s="137"/>
      <c r="G2073" s="137"/>
      <c r="H2073" s="137"/>
      <c r="I2073" s="137"/>
      <c r="J2073" s="137"/>
      <c r="K2073" s="137"/>
      <c r="L2073" s="137"/>
      <c r="M2073" s="137"/>
      <c r="N2073" s="137"/>
      <c r="O2073" s="137"/>
      <c r="P2073" s="137"/>
      <c r="Q2073" s="137"/>
      <c r="R2073" s="137"/>
      <c r="S2073" s="137"/>
      <c r="T2073" s="137"/>
      <c r="U2073" s="137"/>
      <c r="V2073" s="137"/>
      <c r="W2073" s="137"/>
    </row>
    <row r="2074" spans="1:23" x14ac:dyDescent="0.25">
      <c r="A2074" s="137"/>
      <c r="B2074" s="137"/>
      <c r="C2074" s="137"/>
      <c r="D2074" s="137"/>
      <c r="E2074" s="137"/>
      <c r="F2074" s="137"/>
      <c r="G2074" s="137"/>
      <c r="H2074" s="137"/>
      <c r="I2074" s="137"/>
      <c r="J2074" s="137"/>
      <c r="K2074" s="137"/>
      <c r="L2074" s="137"/>
      <c r="M2074" s="137"/>
      <c r="N2074" s="137"/>
      <c r="O2074" s="137"/>
      <c r="P2074" s="137"/>
      <c r="Q2074" s="137"/>
      <c r="R2074" s="137"/>
      <c r="S2074" s="137"/>
      <c r="T2074" s="137"/>
      <c r="U2074" s="137"/>
      <c r="V2074" s="137"/>
      <c r="W2074" s="137"/>
    </row>
    <row r="2075" spans="1:23" x14ac:dyDescent="0.25">
      <c r="A2075" s="137"/>
      <c r="B2075" s="137"/>
      <c r="C2075" s="137"/>
      <c r="D2075" s="137"/>
      <c r="E2075" s="137"/>
      <c r="F2075" s="137"/>
      <c r="G2075" s="137"/>
      <c r="H2075" s="137"/>
      <c r="I2075" s="137"/>
      <c r="J2075" s="137"/>
      <c r="K2075" s="137"/>
      <c r="L2075" s="137"/>
      <c r="M2075" s="137"/>
      <c r="N2075" s="137"/>
      <c r="O2075" s="137"/>
      <c r="P2075" s="137"/>
      <c r="Q2075" s="137"/>
      <c r="R2075" s="137"/>
      <c r="S2075" s="137"/>
      <c r="T2075" s="137"/>
      <c r="U2075" s="137"/>
      <c r="V2075" s="137"/>
      <c r="W2075" s="137"/>
    </row>
    <row r="2076" spans="1:23" x14ac:dyDescent="0.25">
      <c r="A2076" s="137"/>
      <c r="B2076" s="137"/>
      <c r="C2076" s="137"/>
      <c r="D2076" s="137"/>
      <c r="E2076" s="137"/>
      <c r="F2076" s="137"/>
      <c r="G2076" s="137"/>
      <c r="H2076" s="137"/>
      <c r="I2076" s="137"/>
      <c r="J2076" s="137"/>
      <c r="K2076" s="137"/>
      <c r="L2076" s="137"/>
      <c r="M2076" s="137"/>
      <c r="N2076" s="137"/>
      <c r="O2076" s="137"/>
      <c r="P2076" s="137"/>
      <c r="Q2076" s="137"/>
      <c r="R2076" s="137"/>
      <c r="S2076" s="137"/>
      <c r="T2076" s="137"/>
      <c r="U2076" s="137"/>
      <c r="V2076" s="137"/>
      <c r="W2076" s="137"/>
    </row>
    <row r="2077" spans="1:23" x14ac:dyDescent="0.25">
      <c r="A2077" s="137"/>
      <c r="B2077" s="137"/>
      <c r="C2077" s="137"/>
      <c r="D2077" s="137"/>
      <c r="E2077" s="137"/>
      <c r="F2077" s="137"/>
      <c r="G2077" s="137"/>
      <c r="H2077" s="137"/>
      <c r="I2077" s="137"/>
      <c r="J2077" s="137"/>
      <c r="K2077" s="137"/>
      <c r="L2077" s="137"/>
      <c r="M2077" s="137"/>
      <c r="N2077" s="137"/>
      <c r="O2077" s="137"/>
      <c r="P2077" s="137"/>
      <c r="Q2077" s="137"/>
      <c r="R2077" s="137"/>
      <c r="S2077" s="137"/>
      <c r="T2077" s="137"/>
      <c r="U2077" s="137"/>
      <c r="V2077" s="137"/>
      <c r="W2077" s="137"/>
    </row>
    <row r="2078" spans="1:23" x14ac:dyDescent="0.25">
      <c r="A2078" s="137"/>
      <c r="B2078" s="137"/>
      <c r="C2078" s="137"/>
      <c r="D2078" s="137"/>
      <c r="E2078" s="137"/>
      <c r="F2078" s="137"/>
      <c r="G2078" s="137"/>
      <c r="H2078" s="137"/>
      <c r="I2078" s="137"/>
      <c r="J2078" s="137"/>
      <c r="K2078" s="137"/>
      <c r="L2078" s="137"/>
      <c r="M2078" s="137"/>
      <c r="N2078" s="137"/>
      <c r="O2078" s="137"/>
      <c r="P2078" s="137"/>
      <c r="Q2078" s="137"/>
      <c r="R2078" s="137"/>
      <c r="S2078" s="137"/>
      <c r="T2078" s="137"/>
      <c r="U2078" s="137"/>
      <c r="V2078" s="137"/>
      <c r="W2078" s="137"/>
    </row>
    <row r="2079" spans="1:23" x14ac:dyDescent="0.25">
      <c r="A2079" s="137"/>
      <c r="B2079" s="137"/>
      <c r="C2079" s="137"/>
      <c r="D2079" s="137"/>
      <c r="E2079" s="137"/>
      <c r="F2079" s="137"/>
      <c r="G2079" s="137"/>
      <c r="H2079" s="137"/>
      <c r="I2079" s="137"/>
      <c r="J2079" s="137"/>
      <c r="K2079" s="137"/>
      <c r="L2079" s="137"/>
      <c r="M2079" s="137"/>
      <c r="N2079" s="137"/>
      <c r="O2079" s="137"/>
      <c r="P2079" s="137"/>
      <c r="Q2079" s="137"/>
      <c r="R2079" s="137"/>
      <c r="S2079" s="137"/>
      <c r="T2079" s="137"/>
      <c r="U2079" s="137"/>
      <c r="V2079" s="137"/>
      <c r="W2079" s="137"/>
    </row>
    <row r="2080" spans="1:23" x14ac:dyDescent="0.25">
      <c r="A2080" s="137"/>
      <c r="B2080" s="137"/>
      <c r="C2080" s="137"/>
      <c r="D2080" s="137"/>
      <c r="E2080" s="137"/>
      <c r="F2080" s="137"/>
      <c r="G2080" s="137"/>
      <c r="H2080" s="137"/>
      <c r="I2080" s="137"/>
      <c r="J2080" s="137"/>
      <c r="K2080" s="137"/>
      <c r="L2080" s="137"/>
      <c r="M2080" s="137"/>
      <c r="N2080" s="137"/>
      <c r="O2080" s="137"/>
      <c r="P2080" s="137"/>
      <c r="Q2080" s="137"/>
      <c r="R2080" s="137"/>
      <c r="S2080" s="137"/>
      <c r="T2080" s="137"/>
      <c r="U2080" s="137"/>
      <c r="V2080" s="137"/>
      <c r="W2080" s="137"/>
    </row>
    <row r="2081" spans="1:23" x14ac:dyDescent="0.25">
      <c r="A2081" s="137"/>
      <c r="B2081" s="137"/>
      <c r="C2081" s="137"/>
      <c r="D2081" s="137"/>
      <c r="E2081" s="137"/>
      <c r="F2081" s="137"/>
      <c r="G2081" s="137"/>
      <c r="H2081" s="137"/>
      <c r="I2081" s="137"/>
      <c r="J2081" s="137"/>
      <c r="K2081" s="137"/>
      <c r="L2081" s="137"/>
      <c r="M2081" s="137"/>
      <c r="N2081" s="137"/>
      <c r="O2081" s="137"/>
      <c r="P2081" s="137"/>
      <c r="Q2081" s="137"/>
      <c r="R2081" s="137"/>
      <c r="S2081" s="137"/>
      <c r="T2081" s="137"/>
      <c r="U2081" s="137"/>
      <c r="V2081" s="137"/>
      <c r="W2081" s="137"/>
    </row>
    <row r="2082" spans="1:23" x14ac:dyDescent="0.25">
      <c r="A2082" s="137"/>
      <c r="B2082" s="137"/>
      <c r="C2082" s="137"/>
      <c r="D2082" s="137"/>
      <c r="E2082" s="137"/>
      <c r="F2082" s="137"/>
      <c r="G2082" s="137"/>
      <c r="H2082" s="137"/>
      <c r="I2082" s="137"/>
      <c r="J2082" s="137"/>
      <c r="K2082" s="137"/>
      <c r="L2082" s="137"/>
      <c r="M2082" s="137"/>
      <c r="N2082" s="137"/>
      <c r="O2082" s="137"/>
      <c r="P2082" s="137"/>
      <c r="Q2082" s="137"/>
      <c r="R2082" s="137"/>
      <c r="S2082" s="137"/>
      <c r="T2082" s="137"/>
      <c r="U2082" s="137"/>
      <c r="V2082" s="137"/>
      <c r="W2082" s="137"/>
    </row>
    <row r="2083" spans="1:23" x14ac:dyDescent="0.25">
      <c r="A2083" s="137"/>
      <c r="B2083" s="137"/>
      <c r="C2083" s="137"/>
      <c r="D2083" s="137"/>
      <c r="E2083" s="137"/>
      <c r="F2083" s="137"/>
      <c r="G2083" s="137"/>
      <c r="H2083" s="137"/>
      <c r="I2083" s="137"/>
      <c r="J2083" s="137"/>
      <c r="K2083" s="137"/>
      <c r="L2083" s="137"/>
      <c r="M2083" s="137"/>
      <c r="N2083" s="137"/>
      <c r="O2083" s="137"/>
      <c r="P2083" s="137"/>
      <c r="Q2083" s="137"/>
      <c r="R2083" s="137"/>
      <c r="S2083" s="137"/>
      <c r="T2083" s="137"/>
      <c r="U2083" s="137"/>
      <c r="V2083" s="137"/>
      <c r="W2083" s="137"/>
    </row>
    <row r="2084" spans="1:23" x14ac:dyDescent="0.25">
      <c r="A2084" s="137"/>
      <c r="B2084" s="137"/>
      <c r="C2084" s="137"/>
      <c r="D2084" s="137"/>
      <c r="E2084" s="137"/>
      <c r="F2084" s="137"/>
      <c r="G2084" s="137"/>
      <c r="H2084" s="137"/>
      <c r="I2084" s="137"/>
      <c r="J2084" s="137"/>
      <c r="K2084" s="137"/>
      <c r="L2084" s="137"/>
      <c r="M2084" s="137"/>
      <c r="N2084" s="137"/>
      <c r="O2084" s="137"/>
      <c r="P2084" s="137"/>
      <c r="Q2084" s="137"/>
      <c r="R2084" s="137"/>
      <c r="S2084" s="137"/>
      <c r="T2084" s="137"/>
      <c r="U2084" s="137"/>
      <c r="V2084" s="137"/>
      <c r="W2084" s="137"/>
    </row>
    <row r="2085" spans="1:23" x14ac:dyDescent="0.25">
      <c r="A2085" s="137"/>
      <c r="B2085" s="137"/>
      <c r="C2085" s="137"/>
      <c r="D2085" s="137"/>
      <c r="E2085" s="137"/>
      <c r="F2085" s="137"/>
      <c r="G2085" s="137"/>
      <c r="H2085" s="137"/>
      <c r="I2085" s="137"/>
      <c r="J2085" s="137"/>
      <c r="K2085" s="137"/>
      <c r="L2085" s="137"/>
      <c r="M2085" s="137"/>
      <c r="N2085" s="137"/>
      <c r="O2085" s="137"/>
      <c r="P2085" s="137"/>
      <c r="Q2085" s="137"/>
      <c r="R2085" s="137"/>
      <c r="S2085" s="137"/>
      <c r="T2085" s="137"/>
      <c r="U2085" s="137"/>
      <c r="V2085" s="137"/>
      <c r="W2085" s="137"/>
    </row>
    <row r="2086" spans="1:23" x14ac:dyDescent="0.25">
      <c r="A2086" s="137"/>
      <c r="B2086" s="137"/>
      <c r="C2086" s="137"/>
      <c r="D2086" s="137"/>
      <c r="E2086" s="137"/>
      <c r="F2086" s="137"/>
      <c r="G2086" s="137"/>
      <c r="H2086" s="137"/>
      <c r="I2086" s="137"/>
      <c r="J2086" s="137"/>
      <c r="K2086" s="137"/>
      <c r="L2086" s="137"/>
      <c r="M2086" s="137"/>
      <c r="N2086" s="137"/>
      <c r="O2086" s="137"/>
      <c r="P2086" s="137"/>
      <c r="Q2086" s="137"/>
      <c r="R2086" s="137"/>
      <c r="S2086" s="137"/>
      <c r="T2086" s="137"/>
      <c r="U2086" s="137"/>
      <c r="V2086" s="137"/>
      <c r="W2086" s="137"/>
    </row>
    <row r="2087" spans="1:23" x14ac:dyDescent="0.25">
      <c r="A2087" s="137"/>
      <c r="B2087" s="137"/>
      <c r="C2087" s="137"/>
      <c r="D2087" s="137"/>
      <c r="E2087" s="137"/>
      <c r="F2087" s="137"/>
      <c r="G2087" s="137"/>
      <c r="H2087" s="137"/>
      <c r="I2087" s="137"/>
      <c r="J2087" s="137"/>
      <c r="K2087" s="137"/>
      <c r="L2087" s="137"/>
      <c r="M2087" s="137"/>
      <c r="N2087" s="137"/>
      <c r="O2087" s="137"/>
      <c r="P2087" s="137"/>
      <c r="Q2087" s="137"/>
      <c r="R2087" s="137"/>
      <c r="S2087" s="137"/>
      <c r="T2087" s="137"/>
      <c r="U2087" s="137"/>
      <c r="V2087" s="137"/>
      <c r="W2087" s="137"/>
    </row>
    <row r="2088" spans="1:23" x14ac:dyDescent="0.25">
      <c r="A2088" s="137"/>
      <c r="B2088" s="137"/>
      <c r="C2088" s="137"/>
      <c r="D2088" s="137"/>
      <c r="E2088" s="137"/>
      <c r="F2088" s="137"/>
      <c r="G2088" s="137"/>
      <c r="H2088" s="137"/>
      <c r="I2088" s="137"/>
      <c r="J2088" s="137"/>
      <c r="K2088" s="137"/>
      <c r="L2088" s="137"/>
      <c r="M2088" s="137"/>
      <c r="N2088" s="137"/>
      <c r="O2088" s="137"/>
      <c r="P2088" s="137"/>
      <c r="Q2088" s="137"/>
      <c r="R2088" s="137"/>
      <c r="S2088" s="137"/>
      <c r="T2088" s="137"/>
      <c r="U2088" s="137"/>
      <c r="V2088" s="137"/>
      <c r="W2088" s="137"/>
    </row>
    <row r="2089" spans="1:23" x14ac:dyDescent="0.25">
      <c r="A2089" s="137"/>
      <c r="B2089" s="137"/>
      <c r="C2089" s="137"/>
      <c r="D2089" s="137"/>
      <c r="E2089" s="137"/>
      <c r="F2089" s="137"/>
      <c r="G2089" s="137"/>
      <c r="H2089" s="137"/>
      <c r="I2089" s="137"/>
      <c r="J2089" s="137"/>
      <c r="K2089" s="137"/>
      <c r="L2089" s="137"/>
      <c r="M2089" s="137"/>
      <c r="N2089" s="137"/>
      <c r="O2089" s="137"/>
      <c r="P2089" s="137"/>
      <c r="Q2089" s="137"/>
      <c r="R2089" s="137"/>
      <c r="S2089" s="137"/>
      <c r="T2089" s="137"/>
      <c r="U2089" s="137"/>
      <c r="V2089" s="137"/>
      <c r="W2089" s="137"/>
    </row>
    <row r="2090" spans="1:23" x14ac:dyDescent="0.25">
      <c r="A2090" s="137"/>
      <c r="B2090" s="137"/>
      <c r="C2090" s="137"/>
      <c r="D2090" s="137"/>
      <c r="E2090" s="137"/>
      <c r="F2090" s="137"/>
      <c r="G2090" s="137"/>
      <c r="H2090" s="137"/>
      <c r="I2090" s="137"/>
      <c r="J2090" s="137"/>
      <c r="K2090" s="137"/>
      <c r="L2090" s="137"/>
      <c r="M2090" s="137"/>
      <c r="N2090" s="137"/>
      <c r="O2090" s="137"/>
      <c r="P2090" s="137"/>
      <c r="Q2090" s="137"/>
      <c r="R2090" s="137"/>
      <c r="S2090" s="137"/>
      <c r="T2090" s="137"/>
      <c r="U2090" s="137"/>
      <c r="V2090" s="137"/>
      <c r="W2090" s="137"/>
    </row>
    <row r="2091" spans="1:23" x14ac:dyDescent="0.25">
      <c r="A2091" s="137"/>
      <c r="B2091" s="137"/>
      <c r="C2091" s="137"/>
      <c r="D2091" s="137"/>
      <c r="E2091" s="137"/>
      <c r="F2091" s="137"/>
      <c r="G2091" s="137"/>
      <c r="H2091" s="137"/>
      <c r="I2091" s="137"/>
      <c r="J2091" s="137"/>
      <c r="K2091" s="137"/>
      <c r="L2091" s="137"/>
      <c r="M2091" s="137"/>
      <c r="N2091" s="137"/>
      <c r="O2091" s="137"/>
      <c r="P2091" s="137"/>
      <c r="Q2091" s="137"/>
      <c r="R2091" s="137"/>
      <c r="S2091" s="137"/>
      <c r="T2091" s="137"/>
      <c r="U2091" s="137"/>
      <c r="V2091" s="137"/>
      <c r="W2091" s="137"/>
    </row>
    <row r="2092" spans="1:23" x14ac:dyDescent="0.25">
      <c r="A2092" s="137"/>
      <c r="B2092" s="137"/>
      <c r="C2092" s="137"/>
      <c r="D2092" s="137"/>
      <c r="E2092" s="137"/>
      <c r="F2092" s="137"/>
      <c r="G2092" s="137"/>
      <c r="H2092" s="137"/>
      <c r="I2092" s="137"/>
      <c r="J2092" s="137"/>
      <c r="K2092" s="137"/>
      <c r="L2092" s="137"/>
      <c r="M2092" s="137"/>
      <c r="N2092" s="137"/>
      <c r="O2092" s="137"/>
      <c r="P2092" s="137"/>
      <c r="Q2092" s="137"/>
      <c r="R2092" s="137"/>
      <c r="S2092" s="137"/>
      <c r="T2092" s="137"/>
      <c r="U2092" s="137"/>
      <c r="V2092" s="137"/>
      <c r="W2092" s="137"/>
    </row>
    <row r="2093" spans="1:23" x14ac:dyDescent="0.25">
      <c r="A2093" s="137"/>
      <c r="B2093" s="137"/>
      <c r="C2093" s="137"/>
      <c r="D2093" s="137"/>
      <c r="E2093" s="137"/>
      <c r="F2093" s="137"/>
      <c r="G2093" s="137"/>
      <c r="H2093" s="137"/>
      <c r="I2093" s="137"/>
      <c r="J2093" s="137"/>
      <c r="K2093" s="137"/>
      <c r="L2093" s="137"/>
      <c r="M2093" s="137"/>
      <c r="N2093" s="137"/>
      <c r="O2093" s="137"/>
      <c r="P2093" s="137"/>
      <c r="Q2093" s="137"/>
      <c r="R2093" s="137"/>
      <c r="S2093" s="137"/>
      <c r="T2093" s="137"/>
      <c r="U2093" s="137"/>
      <c r="V2093" s="137"/>
      <c r="W2093" s="137"/>
    </row>
    <row r="2094" spans="1:23" x14ac:dyDescent="0.25">
      <c r="A2094" s="137"/>
      <c r="B2094" s="137"/>
      <c r="C2094" s="137"/>
      <c r="D2094" s="137"/>
      <c r="E2094" s="137"/>
      <c r="F2094" s="137"/>
      <c r="G2094" s="137"/>
      <c r="H2094" s="137"/>
      <c r="I2094" s="137"/>
      <c r="J2094" s="137"/>
      <c r="K2094" s="137"/>
      <c r="L2094" s="137"/>
      <c r="M2094" s="137"/>
      <c r="N2094" s="137"/>
      <c r="O2094" s="137"/>
      <c r="P2094" s="137"/>
      <c r="Q2094" s="137"/>
      <c r="R2094" s="137"/>
      <c r="S2094" s="137"/>
      <c r="T2094" s="137"/>
      <c r="U2094" s="137"/>
      <c r="V2094" s="137"/>
      <c r="W2094" s="137"/>
    </row>
    <row r="2095" spans="1:23" x14ac:dyDescent="0.25">
      <c r="A2095" s="137"/>
      <c r="B2095" s="137"/>
      <c r="C2095" s="137"/>
      <c r="D2095" s="137"/>
      <c r="E2095" s="137"/>
      <c r="F2095" s="137"/>
      <c r="G2095" s="137"/>
      <c r="H2095" s="137"/>
      <c r="I2095" s="137"/>
      <c r="J2095" s="137"/>
      <c r="K2095" s="137"/>
      <c r="L2095" s="137"/>
      <c r="M2095" s="137"/>
      <c r="N2095" s="137"/>
      <c r="O2095" s="137"/>
      <c r="P2095" s="137"/>
      <c r="Q2095" s="137"/>
      <c r="R2095" s="137"/>
      <c r="S2095" s="137"/>
      <c r="T2095" s="137"/>
      <c r="U2095" s="137"/>
      <c r="V2095" s="137"/>
      <c r="W2095" s="137"/>
    </row>
    <row r="2096" spans="1:23" x14ac:dyDescent="0.25">
      <c r="A2096" s="137"/>
      <c r="B2096" s="137"/>
      <c r="C2096" s="137"/>
      <c r="D2096" s="137"/>
      <c r="E2096" s="137"/>
      <c r="F2096" s="137"/>
      <c r="G2096" s="137"/>
      <c r="H2096" s="137"/>
      <c r="I2096" s="137"/>
      <c r="J2096" s="137"/>
      <c r="K2096" s="137"/>
      <c r="L2096" s="137"/>
      <c r="M2096" s="137"/>
      <c r="N2096" s="137"/>
      <c r="O2096" s="137"/>
      <c r="P2096" s="137"/>
      <c r="Q2096" s="137"/>
      <c r="R2096" s="137"/>
      <c r="S2096" s="137"/>
      <c r="T2096" s="137"/>
      <c r="U2096" s="137"/>
      <c r="V2096" s="137"/>
      <c r="W2096" s="137"/>
    </row>
    <row r="2097" spans="1:23" x14ac:dyDescent="0.25">
      <c r="A2097" s="137"/>
      <c r="B2097" s="137"/>
      <c r="C2097" s="137"/>
      <c r="D2097" s="137"/>
      <c r="E2097" s="137"/>
      <c r="F2097" s="137"/>
      <c r="G2097" s="137"/>
      <c r="H2097" s="137"/>
      <c r="I2097" s="137"/>
      <c r="J2097" s="137"/>
      <c r="K2097" s="137"/>
      <c r="L2097" s="137"/>
      <c r="M2097" s="137"/>
      <c r="N2097" s="137"/>
      <c r="O2097" s="137"/>
      <c r="P2097" s="137"/>
      <c r="Q2097" s="137"/>
      <c r="R2097" s="137"/>
      <c r="S2097" s="137"/>
      <c r="T2097" s="137"/>
      <c r="U2097" s="137"/>
      <c r="V2097" s="137"/>
      <c r="W2097" s="137"/>
    </row>
    <row r="2098" spans="1:23" x14ac:dyDescent="0.25">
      <c r="A2098" s="137"/>
      <c r="B2098" s="137"/>
      <c r="C2098" s="137"/>
      <c r="D2098" s="137"/>
      <c r="E2098" s="137"/>
      <c r="F2098" s="137"/>
      <c r="G2098" s="137"/>
      <c r="H2098" s="137"/>
      <c r="I2098" s="137"/>
      <c r="J2098" s="137"/>
      <c r="K2098" s="137"/>
      <c r="L2098" s="137"/>
      <c r="M2098" s="137"/>
      <c r="N2098" s="137"/>
      <c r="O2098" s="137"/>
      <c r="P2098" s="137"/>
      <c r="Q2098" s="137"/>
      <c r="R2098" s="137"/>
      <c r="S2098" s="137"/>
      <c r="T2098" s="137"/>
      <c r="U2098" s="137"/>
      <c r="V2098" s="137"/>
      <c r="W2098" s="137"/>
    </row>
    <row r="2099" spans="1:23" x14ac:dyDescent="0.25">
      <c r="A2099" s="137"/>
      <c r="B2099" s="137"/>
      <c r="C2099" s="137"/>
      <c r="D2099" s="137"/>
      <c r="E2099" s="137"/>
      <c r="F2099" s="137"/>
      <c r="G2099" s="137"/>
      <c r="H2099" s="137"/>
      <c r="I2099" s="137"/>
      <c r="J2099" s="137"/>
      <c r="K2099" s="137"/>
      <c r="L2099" s="137"/>
      <c r="M2099" s="137"/>
      <c r="N2099" s="137"/>
      <c r="O2099" s="137"/>
      <c r="P2099" s="137"/>
      <c r="Q2099" s="137"/>
      <c r="R2099" s="137"/>
      <c r="S2099" s="137"/>
      <c r="T2099" s="137"/>
      <c r="U2099" s="137"/>
      <c r="V2099" s="137"/>
      <c r="W2099" s="137"/>
    </row>
    <row r="2100" spans="1:23" x14ac:dyDescent="0.25">
      <c r="A2100" s="137"/>
      <c r="B2100" s="137"/>
      <c r="C2100" s="137"/>
      <c r="D2100" s="137"/>
      <c r="E2100" s="137"/>
      <c r="F2100" s="137"/>
      <c r="G2100" s="137"/>
      <c r="H2100" s="137"/>
      <c r="I2100" s="137"/>
      <c r="J2100" s="137"/>
      <c r="K2100" s="137"/>
      <c r="L2100" s="137"/>
      <c r="M2100" s="137"/>
      <c r="N2100" s="137"/>
      <c r="O2100" s="137"/>
      <c r="P2100" s="137"/>
      <c r="Q2100" s="137"/>
      <c r="R2100" s="137"/>
      <c r="S2100" s="137"/>
      <c r="T2100" s="137"/>
      <c r="U2100" s="137"/>
      <c r="V2100" s="137"/>
      <c r="W2100" s="137"/>
    </row>
    <row r="2101" spans="1:23" x14ac:dyDescent="0.25">
      <c r="A2101" s="137"/>
      <c r="B2101" s="137"/>
      <c r="C2101" s="137"/>
      <c r="D2101" s="137"/>
      <c r="E2101" s="137"/>
      <c r="F2101" s="137"/>
      <c r="G2101" s="137"/>
      <c r="H2101" s="137"/>
      <c r="I2101" s="137"/>
      <c r="J2101" s="137"/>
      <c r="K2101" s="137"/>
      <c r="L2101" s="137"/>
      <c r="M2101" s="137"/>
      <c r="N2101" s="137"/>
      <c r="O2101" s="137"/>
      <c r="P2101" s="137"/>
      <c r="Q2101" s="137"/>
      <c r="R2101" s="137"/>
      <c r="S2101" s="137"/>
      <c r="T2101" s="137"/>
      <c r="U2101" s="137"/>
      <c r="V2101" s="137"/>
      <c r="W2101" s="137"/>
    </row>
    <row r="2102" spans="1:23" x14ac:dyDescent="0.25">
      <c r="A2102" s="137"/>
      <c r="B2102" s="137"/>
      <c r="C2102" s="137"/>
      <c r="D2102" s="137"/>
      <c r="E2102" s="137"/>
      <c r="F2102" s="137"/>
      <c r="G2102" s="137"/>
      <c r="H2102" s="137"/>
      <c r="I2102" s="137"/>
      <c r="J2102" s="137"/>
      <c r="K2102" s="137"/>
      <c r="L2102" s="137"/>
      <c r="M2102" s="137"/>
      <c r="N2102" s="137"/>
      <c r="O2102" s="137"/>
      <c r="P2102" s="137"/>
      <c r="Q2102" s="137"/>
      <c r="R2102" s="137"/>
      <c r="S2102" s="137"/>
      <c r="T2102" s="137"/>
      <c r="U2102" s="137"/>
      <c r="V2102" s="137"/>
      <c r="W2102" s="137"/>
    </row>
    <row r="2103" spans="1:23" x14ac:dyDescent="0.25">
      <c r="A2103" s="137"/>
      <c r="B2103" s="137"/>
      <c r="C2103" s="137"/>
      <c r="D2103" s="137"/>
      <c r="E2103" s="137"/>
      <c r="F2103" s="137"/>
      <c r="G2103" s="137"/>
      <c r="H2103" s="137"/>
      <c r="I2103" s="137"/>
      <c r="J2103" s="137"/>
      <c r="K2103" s="137"/>
      <c r="L2103" s="137"/>
      <c r="M2103" s="137"/>
      <c r="N2103" s="137"/>
      <c r="O2103" s="137"/>
      <c r="P2103" s="137"/>
      <c r="Q2103" s="137"/>
      <c r="R2103" s="137"/>
      <c r="S2103" s="137"/>
      <c r="T2103" s="137"/>
      <c r="U2103" s="137"/>
      <c r="V2103" s="137"/>
      <c r="W2103" s="137"/>
    </row>
    <row r="2104" spans="1:23" x14ac:dyDescent="0.25">
      <c r="A2104" s="137"/>
      <c r="B2104" s="137"/>
      <c r="C2104" s="137"/>
      <c r="D2104" s="137"/>
      <c r="E2104" s="137"/>
      <c r="F2104" s="137"/>
      <c r="G2104" s="137"/>
      <c r="H2104" s="137"/>
      <c r="I2104" s="137"/>
      <c r="J2104" s="137"/>
      <c r="K2104" s="137"/>
      <c r="L2104" s="137"/>
      <c r="M2104" s="137"/>
      <c r="N2104" s="137"/>
      <c r="O2104" s="137"/>
      <c r="P2104" s="137"/>
      <c r="Q2104" s="137"/>
      <c r="R2104" s="137"/>
      <c r="S2104" s="137"/>
      <c r="T2104" s="137"/>
      <c r="U2104" s="137"/>
      <c r="V2104" s="137"/>
      <c r="W2104" s="137"/>
    </row>
    <row r="2105" spans="1:23" x14ac:dyDescent="0.25">
      <c r="A2105" s="137"/>
      <c r="B2105" s="137"/>
      <c r="C2105" s="137"/>
      <c r="D2105" s="137"/>
      <c r="E2105" s="137"/>
      <c r="F2105" s="137"/>
      <c r="G2105" s="137"/>
      <c r="H2105" s="137"/>
      <c r="I2105" s="137"/>
      <c r="J2105" s="137"/>
      <c r="K2105" s="137"/>
      <c r="L2105" s="137"/>
      <c r="M2105" s="137"/>
      <c r="N2105" s="137"/>
      <c r="O2105" s="137"/>
      <c r="P2105" s="137"/>
      <c r="Q2105" s="137"/>
      <c r="R2105" s="137"/>
      <c r="S2105" s="137"/>
      <c r="T2105" s="137"/>
      <c r="U2105" s="137"/>
      <c r="V2105" s="137"/>
      <c r="W2105" s="137"/>
    </row>
    <row r="2106" spans="1:23" x14ac:dyDescent="0.25">
      <c r="A2106" s="137"/>
      <c r="B2106" s="137"/>
      <c r="C2106" s="137"/>
      <c r="D2106" s="137"/>
      <c r="E2106" s="137"/>
      <c r="F2106" s="137"/>
      <c r="G2106" s="137"/>
      <c r="H2106" s="137"/>
      <c r="I2106" s="137"/>
      <c r="J2106" s="137"/>
      <c r="K2106" s="137"/>
      <c r="L2106" s="137"/>
      <c r="M2106" s="137"/>
      <c r="N2106" s="137"/>
      <c r="O2106" s="137"/>
      <c r="P2106" s="137"/>
      <c r="Q2106" s="137"/>
      <c r="R2106" s="137"/>
      <c r="S2106" s="137"/>
      <c r="T2106" s="137"/>
      <c r="U2106" s="137"/>
      <c r="V2106" s="137"/>
      <c r="W2106" s="137"/>
    </row>
    <row r="2107" spans="1:23" x14ac:dyDescent="0.25">
      <c r="A2107" s="137"/>
      <c r="B2107" s="137"/>
      <c r="C2107" s="137"/>
      <c r="D2107" s="137"/>
      <c r="E2107" s="137"/>
      <c r="F2107" s="137"/>
      <c r="G2107" s="137"/>
      <c r="H2107" s="137"/>
      <c r="I2107" s="137"/>
      <c r="J2107" s="137"/>
      <c r="K2107" s="137"/>
      <c r="L2107" s="137"/>
      <c r="M2107" s="137"/>
      <c r="N2107" s="137"/>
      <c r="O2107" s="137"/>
      <c r="P2107" s="137"/>
      <c r="Q2107" s="137"/>
      <c r="R2107" s="137"/>
      <c r="S2107" s="137"/>
      <c r="T2107" s="137"/>
      <c r="U2107" s="137"/>
      <c r="V2107" s="137"/>
      <c r="W2107" s="137"/>
    </row>
    <row r="2108" spans="1:23" x14ac:dyDescent="0.25">
      <c r="A2108" s="137"/>
      <c r="B2108" s="137"/>
      <c r="C2108" s="137"/>
      <c r="D2108" s="137"/>
      <c r="E2108" s="137"/>
      <c r="F2108" s="137"/>
      <c r="G2108" s="137"/>
      <c r="H2108" s="137"/>
      <c r="I2108" s="137"/>
      <c r="J2108" s="137"/>
      <c r="K2108" s="137"/>
      <c r="L2108" s="137"/>
      <c r="M2108" s="137"/>
      <c r="N2108" s="137"/>
      <c r="O2108" s="137"/>
      <c r="P2108" s="137"/>
      <c r="Q2108" s="137"/>
      <c r="R2108" s="137"/>
      <c r="S2108" s="137"/>
      <c r="T2108" s="137"/>
      <c r="U2108" s="137"/>
      <c r="V2108" s="137"/>
      <c r="W2108" s="137"/>
    </row>
    <row r="2109" spans="1:23" x14ac:dyDescent="0.25">
      <c r="A2109" s="137"/>
      <c r="B2109" s="137"/>
      <c r="C2109" s="137"/>
      <c r="D2109" s="137"/>
      <c r="E2109" s="137"/>
      <c r="F2109" s="137"/>
      <c r="G2109" s="137"/>
      <c r="H2109" s="137"/>
      <c r="I2109" s="137"/>
      <c r="J2109" s="137"/>
      <c r="K2109" s="137"/>
      <c r="L2109" s="137"/>
      <c r="M2109" s="137"/>
      <c r="N2109" s="137"/>
      <c r="O2109" s="137"/>
      <c r="P2109" s="137"/>
      <c r="Q2109" s="137"/>
      <c r="R2109" s="137"/>
      <c r="S2109" s="137"/>
      <c r="T2109" s="137"/>
      <c r="U2109" s="137"/>
      <c r="V2109" s="137"/>
      <c r="W2109" s="137"/>
    </row>
    <row r="2110" spans="1:23" x14ac:dyDescent="0.25">
      <c r="A2110" s="137"/>
      <c r="B2110" s="137"/>
      <c r="C2110" s="137"/>
      <c r="D2110" s="137"/>
      <c r="E2110" s="137"/>
      <c r="F2110" s="137"/>
      <c r="G2110" s="137"/>
      <c r="H2110" s="137"/>
      <c r="I2110" s="137"/>
      <c r="J2110" s="137"/>
      <c r="K2110" s="137"/>
      <c r="L2110" s="137"/>
      <c r="M2110" s="137"/>
      <c r="N2110" s="137"/>
      <c r="O2110" s="137"/>
      <c r="P2110" s="137"/>
      <c r="Q2110" s="137"/>
      <c r="R2110" s="137"/>
      <c r="S2110" s="137"/>
      <c r="T2110" s="137"/>
      <c r="U2110" s="137"/>
      <c r="V2110" s="137"/>
      <c r="W2110" s="137"/>
    </row>
    <row r="2111" spans="1:23" x14ac:dyDescent="0.25">
      <c r="A2111" s="137"/>
      <c r="B2111" s="137"/>
      <c r="C2111" s="137"/>
      <c r="D2111" s="137"/>
      <c r="E2111" s="137"/>
      <c r="F2111" s="137"/>
      <c r="G2111" s="137"/>
      <c r="H2111" s="137"/>
      <c r="I2111" s="137"/>
      <c r="J2111" s="137"/>
      <c r="K2111" s="137"/>
      <c r="L2111" s="137"/>
      <c r="M2111" s="137"/>
      <c r="N2111" s="137"/>
      <c r="O2111" s="137"/>
      <c r="P2111" s="137"/>
      <c r="Q2111" s="137"/>
      <c r="R2111" s="137"/>
      <c r="S2111" s="137"/>
      <c r="T2111" s="137"/>
      <c r="U2111" s="137"/>
      <c r="V2111" s="137"/>
      <c r="W2111" s="137"/>
    </row>
    <row r="2112" spans="1:23" x14ac:dyDescent="0.25">
      <c r="A2112" s="137"/>
      <c r="B2112" s="137"/>
      <c r="C2112" s="137"/>
      <c r="D2112" s="137"/>
      <c r="E2112" s="137"/>
      <c r="F2112" s="137"/>
      <c r="G2112" s="137"/>
      <c r="H2112" s="137"/>
      <c r="I2112" s="137"/>
      <c r="J2112" s="137"/>
      <c r="K2112" s="137"/>
      <c r="L2112" s="137"/>
      <c r="M2112" s="137"/>
      <c r="N2112" s="137"/>
      <c r="O2112" s="137"/>
      <c r="P2112" s="137"/>
      <c r="Q2112" s="137"/>
      <c r="R2112" s="137"/>
      <c r="S2112" s="137"/>
      <c r="T2112" s="137"/>
      <c r="U2112" s="137"/>
      <c r="V2112" s="137"/>
      <c r="W2112" s="137"/>
    </row>
    <row r="2113" spans="1:23" x14ac:dyDescent="0.25">
      <c r="A2113" s="137"/>
      <c r="B2113" s="137"/>
      <c r="C2113" s="137"/>
      <c r="D2113" s="137"/>
      <c r="E2113" s="137"/>
      <c r="F2113" s="137"/>
      <c r="G2113" s="137"/>
      <c r="H2113" s="137"/>
      <c r="I2113" s="137"/>
      <c r="J2113" s="137"/>
      <c r="K2113" s="137"/>
      <c r="L2113" s="137"/>
      <c r="M2113" s="137"/>
      <c r="N2113" s="137"/>
      <c r="O2113" s="137"/>
      <c r="P2113" s="137"/>
      <c r="Q2113" s="137"/>
      <c r="R2113" s="137"/>
      <c r="S2113" s="137"/>
      <c r="T2113" s="137"/>
      <c r="U2113" s="137"/>
      <c r="V2113" s="137"/>
      <c r="W2113" s="137"/>
    </row>
    <row r="2114" spans="1:23" x14ac:dyDescent="0.25">
      <c r="A2114" s="137"/>
      <c r="B2114" s="137"/>
      <c r="C2114" s="137"/>
      <c r="D2114" s="137"/>
      <c r="E2114" s="137"/>
      <c r="F2114" s="137"/>
      <c r="G2114" s="137"/>
      <c r="H2114" s="137"/>
      <c r="I2114" s="137"/>
      <c r="J2114" s="137"/>
      <c r="K2114" s="137"/>
      <c r="L2114" s="137"/>
      <c r="M2114" s="137"/>
      <c r="N2114" s="137"/>
      <c r="O2114" s="137"/>
      <c r="P2114" s="137"/>
      <c r="Q2114" s="137"/>
      <c r="R2114" s="137"/>
      <c r="S2114" s="137"/>
      <c r="T2114" s="137"/>
      <c r="U2114" s="137"/>
      <c r="V2114" s="137"/>
      <c r="W2114" s="137"/>
    </row>
    <row r="2115" spans="1:23" x14ac:dyDescent="0.25">
      <c r="A2115" s="137"/>
      <c r="B2115" s="137"/>
      <c r="C2115" s="137"/>
      <c r="D2115" s="137"/>
      <c r="E2115" s="137"/>
      <c r="F2115" s="137"/>
      <c r="G2115" s="137"/>
      <c r="H2115" s="137"/>
      <c r="I2115" s="137"/>
      <c r="J2115" s="137"/>
      <c r="K2115" s="137"/>
      <c r="L2115" s="137"/>
      <c r="M2115" s="137"/>
      <c r="N2115" s="137"/>
      <c r="O2115" s="137"/>
      <c r="P2115" s="137"/>
      <c r="Q2115" s="137"/>
      <c r="R2115" s="137"/>
      <c r="S2115" s="137"/>
      <c r="T2115" s="137"/>
      <c r="U2115" s="137"/>
      <c r="V2115" s="137"/>
      <c r="W2115" s="137"/>
    </row>
    <row r="2116" spans="1:23" x14ac:dyDescent="0.25">
      <c r="A2116" s="137"/>
      <c r="B2116" s="137"/>
      <c r="C2116" s="137"/>
      <c r="D2116" s="137"/>
      <c r="E2116" s="137"/>
      <c r="F2116" s="137"/>
      <c r="G2116" s="137"/>
      <c r="H2116" s="137"/>
      <c r="I2116" s="137"/>
      <c r="J2116" s="137"/>
      <c r="K2116" s="137"/>
      <c r="L2116" s="137"/>
      <c r="M2116" s="137"/>
      <c r="N2116" s="137"/>
      <c r="O2116" s="137"/>
      <c r="P2116" s="137"/>
      <c r="Q2116" s="137"/>
      <c r="R2116" s="137"/>
      <c r="S2116" s="137"/>
      <c r="T2116" s="137"/>
      <c r="U2116" s="137"/>
      <c r="V2116" s="137"/>
      <c r="W2116" s="137"/>
    </row>
    <row r="2117" spans="1:23" x14ac:dyDescent="0.25">
      <c r="A2117" s="137"/>
      <c r="B2117" s="137"/>
      <c r="C2117" s="137"/>
      <c r="D2117" s="137"/>
      <c r="E2117" s="137"/>
      <c r="F2117" s="137"/>
      <c r="G2117" s="137"/>
      <c r="H2117" s="137"/>
      <c r="I2117" s="137"/>
      <c r="J2117" s="137"/>
      <c r="K2117" s="137"/>
      <c r="L2117" s="137"/>
      <c r="M2117" s="137"/>
      <c r="N2117" s="137"/>
      <c r="O2117" s="137"/>
      <c r="P2117" s="137"/>
      <c r="Q2117" s="137"/>
      <c r="R2117" s="137"/>
      <c r="S2117" s="137"/>
      <c r="T2117" s="137"/>
      <c r="U2117" s="137"/>
      <c r="V2117" s="137"/>
      <c r="W2117" s="137"/>
    </row>
    <row r="2118" spans="1:23" x14ac:dyDescent="0.25">
      <c r="A2118" s="137"/>
      <c r="B2118" s="137"/>
      <c r="C2118" s="137"/>
      <c r="D2118" s="137"/>
      <c r="E2118" s="137"/>
      <c r="F2118" s="137"/>
      <c r="G2118" s="137"/>
      <c r="H2118" s="137"/>
      <c r="I2118" s="137"/>
      <c r="J2118" s="137"/>
      <c r="K2118" s="137"/>
      <c r="L2118" s="137"/>
      <c r="M2118" s="137"/>
      <c r="N2118" s="137"/>
      <c r="O2118" s="137"/>
      <c r="P2118" s="137"/>
      <c r="Q2118" s="137"/>
      <c r="R2118" s="137"/>
      <c r="S2118" s="137"/>
      <c r="T2118" s="137"/>
      <c r="U2118" s="137"/>
      <c r="V2118" s="137"/>
      <c r="W2118" s="137"/>
    </row>
    <row r="2119" spans="1:23" x14ac:dyDescent="0.25">
      <c r="A2119" s="137"/>
      <c r="B2119" s="137"/>
      <c r="C2119" s="137"/>
      <c r="D2119" s="137"/>
      <c r="E2119" s="137"/>
      <c r="F2119" s="137"/>
      <c r="G2119" s="137"/>
      <c r="H2119" s="137"/>
      <c r="I2119" s="137"/>
      <c r="J2119" s="137"/>
      <c r="K2119" s="137"/>
      <c r="L2119" s="137"/>
      <c r="M2119" s="137"/>
      <c r="N2119" s="137"/>
      <c r="O2119" s="137"/>
      <c r="P2119" s="137"/>
      <c r="Q2119" s="137"/>
      <c r="R2119" s="137"/>
      <c r="S2119" s="137"/>
      <c r="T2119" s="137"/>
      <c r="U2119" s="137"/>
      <c r="V2119" s="137"/>
      <c r="W2119" s="137"/>
    </row>
    <row r="2120" spans="1:23" x14ac:dyDescent="0.25">
      <c r="A2120" s="137"/>
      <c r="B2120" s="137"/>
      <c r="C2120" s="137"/>
      <c r="D2120" s="137"/>
      <c r="E2120" s="137"/>
      <c r="F2120" s="137"/>
      <c r="G2120" s="137"/>
      <c r="H2120" s="137"/>
      <c r="I2120" s="137"/>
      <c r="J2120" s="137"/>
      <c r="K2120" s="137"/>
      <c r="L2120" s="137"/>
      <c r="M2120" s="137"/>
      <c r="N2120" s="137"/>
      <c r="O2120" s="137"/>
      <c r="P2120" s="137"/>
      <c r="Q2120" s="137"/>
      <c r="R2120" s="137"/>
      <c r="S2120" s="137"/>
      <c r="T2120" s="137"/>
      <c r="U2120" s="137"/>
      <c r="V2120" s="137"/>
      <c r="W2120" s="137"/>
    </row>
    <row r="2121" spans="1:23" x14ac:dyDescent="0.25">
      <c r="A2121" s="137"/>
      <c r="B2121" s="137"/>
      <c r="C2121" s="137"/>
      <c r="D2121" s="137"/>
      <c r="E2121" s="137"/>
      <c r="F2121" s="137"/>
      <c r="G2121" s="137"/>
      <c r="H2121" s="137"/>
      <c r="I2121" s="137"/>
      <c r="J2121" s="137"/>
      <c r="K2121" s="137"/>
      <c r="L2121" s="137"/>
      <c r="M2121" s="137"/>
      <c r="N2121" s="137"/>
      <c r="O2121" s="137"/>
      <c r="P2121" s="137"/>
      <c r="Q2121" s="137"/>
      <c r="R2121" s="137"/>
      <c r="S2121" s="137"/>
      <c r="T2121" s="137"/>
      <c r="U2121" s="137"/>
      <c r="V2121" s="137"/>
      <c r="W2121" s="137"/>
    </row>
    <row r="2122" spans="1:23" x14ac:dyDescent="0.25">
      <c r="A2122" s="137"/>
      <c r="B2122" s="137"/>
      <c r="C2122" s="137"/>
      <c r="D2122" s="137"/>
      <c r="E2122" s="137"/>
      <c r="F2122" s="137"/>
      <c r="G2122" s="137"/>
      <c r="H2122" s="137"/>
      <c r="I2122" s="137"/>
      <c r="J2122" s="137"/>
      <c r="K2122" s="137"/>
      <c r="L2122" s="137"/>
      <c r="M2122" s="137"/>
      <c r="N2122" s="137"/>
      <c r="O2122" s="137"/>
      <c r="P2122" s="137"/>
      <c r="Q2122" s="137"/>
      <c r="R2122" s="137"/>
      <c r="S2122" s="137"/>
      <c r="T2122" s="137"/>
      <c r="U2122" s="137"/>
      <c r="V2122" s="137"/>
      <c r="W2122" s="137"/>
    </row>
    <row r="2123" spans="1:23" x14ac:dyDescent="0.25">
      <c r="A2123" s="137"/>
      <c r="B2123" s="137"/>
      <c r="C2123" s="137"/>
      <c r="D2123" s="137"/>
      <c r="E2123" s="137"/>
      <c r="F2123" s="137"/>
      <c r="G2123" s="137"/>
      <c r="H2123" s="137"/>
      <c r="I2123" s="137"/>
      <c r="J2123" s="137"/>
      <c r="K2123" s="137"/>
      <c r="L2123" s="137"/>
      <c r="M2123" s="137"/>
      <c r="N2123" s="137"/>
      <c r="O2123" s="137"/>
      <c r="P2123" s="137"/>
      <c r="Q2123" s="137"/>
      <c r="R2123" s="137"/>
      <c r="S2123" s="137"/>
      <c r="T2123" s="137"/>
      <c r="U2123" s="137"/>
      <c r="V2123" s="137"/>
      <c r="W2123" s="137"/>
    </row>
    <row r="2124" spans="1:23" x14ac:dyDescent="0.25">
      <c r="A2124" s="137"/>
      <c r="B2124" s="137"/>
      <c r="C2124" s="137"/>
      <c r="D2124" s="137"/>
      <c r="E2124" s="137"/>
      <c r="F2124" s="137"/>
      <c r="G2124" s="137"/>
      <c r="H2124" s="137"/>
      <c r="I2124" s="137"/>
      <c r="J2124" s="137"/>
      <c r="K2124" s="137"/>
      <c r="L2124" s="137"/>
      <c r="M2124" s="137"/>
      <c r="N2124" s="137"/>
      <c r="O2124" s="137"/>
      <c r="P2124" s="137"/>
      <c r="Q2124" s="137"/>
      <c r="R2124" s="137"/>
      <c r="S2124" s="137"/>
      <c r="T2124" s="137"/>
      <c r="U2124" s="137"/>
      <c r="V2124" s="137"/>
      <c r="W2124" s="137"/>
    </row>
    <row r="2125" spans="1:23" x14ac:dyDescent="0.25">
      <c r="A2125" s="137"/>
      <c r="B2125" s="137"/>
      <c r="C2125" s="137"/>
      <c r="D2125" s="137"/>
      <c r="E2125" s="137"/>
      <c r="F2125" s="137"/>
      <c r="G2125" s="137"/>
      <c r="H2125" s="137"/>
      <c r="I2125" s="137"/>
      <c r="J2125" s="137"/>
      <c r="K2125" s="137"/>
      <c r="L2125" s="137"/>
      <c r="M2125" s="137"/>
      <c r="N2125" s="137"/>
      <c r="O2125" s="137"/>
      <c r="P2125" s="137"/>
      <c r="Q2125" s="137"/>
      <c r="R2125" s="137"/>
      <c r="S2125" s="137"/>
      <c r="T2125" s="137"/>
      <c r="U2125" s="137"/>
      <c r="V2125" s="137"/>
      <c r="W2125" s="137"/>
    </row>
    <row r="2126" spans="1:23" x14ac:dyDescent="0.25">
      <c r="A2126" s="137"/>
      <c r="B2126" s="137"/>
      <c r="C2126" s="137"/>
      <c r="D2126" s="137"/>
      <c r="E2126" s="137"/>
      <c r="F2126" s="137"/>
      <c r="G2126" s="137"/>
      <c r="H2126" s="137"/>
      <c r="I2126" s="137"/>
      <c r="J2126" s="137"/>
      <c r="K2126" s="137"/>
      <c r="L2126" s="137"/>
      <c r="M2126" s="137"/>
      <c r="N2126" s="137"/>
      <c r="O2126" s="137"/>
      <c r="P2126" s="137"/>
      <c r="Q2126" s="137"/>
      <c r="R2126" s="137"/>
      <c r="S2126" s="137"/>
      <c r="T2126" s="137"/>
      <c r="U2126" s="137"/>
      <c r="V2126" s="137"/>
      <c r="W2126" s="137"/>
    </row>
    <row r="2127" spans="1:23" x14ac:dyDescent="0.25">
      <c r="A2127" s="137"/>
      <c r="B2127" s="137"/>
      <c r="C2127" s="137"/>
      <c r="D2127" s="137"/>
      <c r="E2127" s="137"/>
      <c r="F2127" s="137"/>
      <c r="G2127" s="137"/>
      <c r="H2127" s="137"/>
      <c r="I2127" s="137"/>
      <c r="J2127" s="137"/>
      <c r="K2127" s="137"/>
      <c r="L2127" s="137"/>
      <c r="M2127" s="137"/>
      <c r="N2127" s="137"/>
      <c r="O2127" s="137"/>
      <c r="P2127" s="137"/>
      <c r="Q2127" s="137"/>
      <c r="R2127" s="137"/>
      <c r="S2127" s="137"/>
      <c r="T2127" s="137"/>
      <c r="U2127" s="137"/>
      <c r="V2127" s="137"/>
      <c r="W2127" s="137"/>
    </row>
    <row r="2128" spans="1:23" x14ac:dyDescent="0.25">
      <c r="A2128" s="137"/>
      <c r="B2128" s="137"/>
      <c r="C2128" s="137"/>
      <c r="D2128" s="137"/>
      <c r="E2128" s="137"/>
      <c r="F2128" s="137"/>
      <c r="G2128" s="137"/>
      <c r="H2128" s="137"/>
      <c r="I2128" s="137"/>
      <c r="J2128" s="137"/>
      <c r="K2128" s="137"/>
      <c r="L2128" s="137"/>
      <c r="M2128" s="137"/>
      <c r="N2128" s="137"/>
      <c r="O2128" s="137"/>
      <c r="P2128" s="137"/>
      <c r="Q2128" s="137"/>
      <c r="R2128" s="137"/>
      <c r="S2128" s="137"/>
      <c r="T2128" s="137"/>
      <c r="U2128" s="137"/>
      <c r="V2128" s="137"/>
      <c r="W2128" s="137"/>
    </row>
    <row r="2129" spans="1:23" x14ac:dyDescent="0.25">
      <c r="A2129" s="137"/>
      <c r="B2129" s="137"/>
      <c r="C2129" s="137"/>
      <c r="D2129" s="137"/>
      <c r="E2129" s="137"/>
      <c r="F2129" s="137"/>
      <c r="G2129" s="137"/>
      <c r="H2129" s="137"/>
      <c r="I2129" s="137"/>
      <c r="J2129" s="137"/>
      <c r="K2129" s="137"/>
      <c r="L2129" s="137"/>
      <c r="M2129" s="137"/>
      <c r="N2129" s="137"/>
      <c r="O2129" s="137"/>
      <c r="P2129" s="137"/>
      <c r="Q2129" s="137"/>
      <c r="R2129" s="137"/>
      <c r="S2129" s="137"/>
      <c r="T2129" s="137"/>
      <c r="U2129" s="137"/>
      <c r="V2129" s="137"/>
      <c r="W2129" s="137"/>
    </row>
    <row r="2130" spans="1:23" x14ac:dyDescent="0.25">
      <c r="A2130" s="137"/>
      <c r="B2130" s="137"/>
      <c r="C2130" s="137"/>
      <c r="D2130" s="137"/>
      <c r="E2130" s="137"/>
      <c r="F2130" s="137"/>
      <c r="G2130" s="137"/>
      <c r="H2130" s="137"/>
      <c r="I2130" s="137"/>
      <c r="J2130" s="137"/>
      <c r="K2130" s="137"/>
      <c r="L2130" s="137"/>
      <c r="M2130" s="137"/>
      <c r="N2130" s="137"/>
      <c r="O2130" s="137"/>
      <c r="P2130" s="137"/>
      <c r="Q2130" s="137"/>
      <c r="R2130" s="137"/>
      <c r="S2130" s="137"/>
      <c r="T2130" s="137"/>
      <c r="U2130" s="137"/>
      <c r="V2130" s="137"/>
      <c r="W2130" s="137"/>
    </row>
    <row r="2131" spans="1:23" x14ac:dyDescent="0.25">
      <c r="A2131" s="137"/>
      <c r="B2131" s="137"/>
      <c r="C2131" s="137"/>
      <c r="D2131" s="137"/>
      <c r="E2131" s="137"/>
      <c r="F2131" s="137"/>
      <c r="G2131" s="137"/>
      <c r="H2131" s="137"/>
      <c r="I2131" s="137"/>
      <c r="J2131" s="137"/>
      <c r="K2131" s="137"/>
      <c r="L2131" s="137"/>
      <c r="M2131" s="137"/>
      <c r="N2131" s="137"/>
      <c r="O2131" s="137"/>
      <c r="P2131" s="137"/>
      <c r="Q2131" s="137"/>
      <c r="R2131" s="137"/>
      <c r="S2131" s="137"/>
      <c r="T2131" s="137"/>
      <c r="U2131" s="137"/>
      <c r="V2131" s="137"/>
      <c r="W2131" s="137"/>
    </row>
    <row r="2132" spans="1:23" x14ac:dyDescent="0.25">
      <c r="A2132" s="137"/>
      <c r="B2132" s="137"/>
      <c r="C2132" s="137"/>
      <c r="D2132" s="137"/>
      <c r="E2132" s="137"/>
      <c r="F2132" s="137"/>
      <c r="G2132" s="137"/>
      <c r="H2132" s="137"/>
      <c r="I2132" s="137"/>
      <c r="J2132" s="137"/>
      <c r="K2132" s="137"/>
      <c r="L2132" s="137"/>
      <c r="M2132" s="137"/>
      <c r="N2132" s="137"/>
      <c r="O2132" s="137"/>
      <c r="P2132" s="137"/>
      <c r="Q2132" s="137"/>
      <c r="R2132" s="137"/>
      <c r="S2132" s="137"/>
      <c r="T2132" s="137"/>
      <c r="U2132" s="137"/>
      <c r="V2132" s="137"/>
      <c r="W2132" s="137"/>
    </row>
    <row r="2133" spans="1:23" x14ac:dyDescent="0.25">
      <c r="A2133" s="137"/>
      <c r="B2133" s="137"/>
      <c r="C2133" s="137"/>
      <c r="D2133" s="137"/>
      <c r="E2133" s="137"/>
      <c r="F2133" s="137"/>
      <c r="G2133" s="137"/>
      <c r="H2133" s="137"/>
      <c r="I2133" s="137"/>
      <c r="J2133" s="137"/>
      <c r="K2133" s="137"/>
      <c r="L2133" s="137"/>
      <c r="M2133" s="137"/>
      <c r="N2133" s="137"/>
      <c r="O2133" s="137"/>
      <c r="P2133" s="137"/>
      <c r="Q2133" s="137"/>
      <c r="R2133" s="137"/>
      <c r="S2133" s="137"/>
      <c r="T2133" s="137"/>
      <c r="U2133" s="137"/>
      <c r="V2133" s="137"/>
      <c r="W2133" s="137"/>
    </row>
    <row r="2134" spans="1:23" x14ac:dyDescent="0.25">
      <c r="A2134" s="137"/>
      <c r="B2134" s="137"/>
      <c r="C2134" s="137"/>
      <c r="D2134" s="137"/>
      <c r="E2134" s="137"/>
      <c r="F2134" s="137"/>
      <c r="G2134" s="137"/>
      <c r="H2134" s="137"/>
      <c r="I2134" s="137"/>
      <c r="J2134" s="137"/>
      <c r="K2134" s="137"/>
      <c r="L2134" s="137"/>
      <c r="M2134" s="137"/>
      <c r="N2134" s="137"/>
      <c r="O2134" s="137"/>
      <c r="P2134" s="137"/>
      <c r="Q2134" s="137"/>
      <c r="R2134" s="137"/>
      <c r="S2134" s="137"/>
      <c r="T2134" s="137"/>
      <c r="U2134" s="137"/>
      <c r="V2134" s="137"/>
      <c r="W2134" s="137"/>
    </row>
    <row r="2135" spans="1:23" x14ac:dyDescent="0.25">
      <c r="A2135" s="137"/>
      <c r="B2135" s="137"/>
      <c r="C2135" s="137"/>
      <c r="D2135" s="137"/>
      <c r="E2135" s="137"/>
      <c r="F2135" s="137"/>
      <c r="G2135" s="137"/>
      <c r="H2135" s="137"/>
      <c r="I2135" s="137"/>
      <c r="J2135" s="137"/>
      <c r="K2135" s="137"/>
      <c r="L2135" s="137"/>
      <c r="M2135" s="137"/>
      <c r="N2135" s="137"/>
      <c r="O2135" s="137"/>
      <c r="P2135" s="137"/>
      <c r="Q2135" s="137"/>
      <c r="R2135" s="137"/>
      <c r="S2135" s="137"/>
      <c r="T2135" s="137"/>
      <c r="U2135" s="137"/>
      <c r="V2135" s="137"/>
      <c r="W2135" s="137"/>
    </row>
    <row r="2136" spans="1:23" x14ac:dyDescent="0.25">
      <c r="A2136" s="137"/>
      <c r="B2136" s="137"/>
      <c r="C2136" s="137"/>
      <c r="D2136" s="137"/>
      <c r="E2136" s="137"/>
      <c r="F2136" s="137"/>
      <c r="G2136" s="137"/>
      <c r="H2136" s="137"/>
      <c r="I2136" s="137"/>
      <c r="J2136" s="137"/>
      <c r="K2136" s="137"/>
      <c r="L2136" s="137"/>
      <c r="M2136" s="137"/>
      <c r="N2136" s="137"/>
      <c r="O2136" s="137"/>
      <c r="P2136" s="137"/>
      <c r="Q2136" s="137"/>
      <c r="R2136" s="137"/>
      <c r="S2136" s="137"/>
      <c r="T2136" s="137"/>
      <c r="U2136" s="137"/>
      <c r="V2136" s="137"/>
      <c r="W2136" s="137"/>
    </row>
    <row r="2137" spans="1:23" x14ac:dyDescent="0.25">
      <c r="A2137" s="137"/>
      <c r="B2137" s="137"/>
      <c r="C2137" s="137"/>
      <c r="D2137" s="137"/>
      <c r="E2137" s="137"/>
      <c r="F2137" s="137"/>
      <c r="G2137" s="137"/>
      <c r="H2137" s="137"/>
      <c r="I2137" s="137"/>
      <c r="J2137" s="137"/>
      <c r="K2137" s="137"/>
      <c r="L2137" s="137"/>
      <c r="M2137" s="137"/>
      <c r="N2137" s="137"/>
      <c r="O2137" s="137"/>
      <c r="P2137" s="137"/>
      <c r="Q2137" s="137"/>
      <c r="R2137" s="137"/>
      <c r="S2137" s="137"/>
      <c r="T2137" s="137"/>
      <c r="U2137" s="137"/>
      <c r="V2137" s="137"/>
      <c r="W2137" s="137"/>
    </row>
    <row r="2138" spans="1:23" x14ac:dyDescent="0.25">
      <c r="A2138" s="137"/>
      <c r="B2138" s="137"/>
      <c r="C2138" s="137"/>
      <c r="D2138" s="137"/>
      <c r="E2138" s="137"/>
      <c r="F2138" s="137"/>
      <c r="G2138" s="137"/>
      <c r="H2138" s="137"/>
      <c r="I2138" s="137"/>
      <c r="J2138" s="137"/>
      <c r="K2138" s="137"/>
      <c r="L2138" s="137"/>
      <c r="M2138" s="137"/>
      <c r="N2138" s="137"/>
      <c r="O2138" s="137"/>
      <c r="P2138" s="137"/>
      <c r="Q2138" s="137"/>
      <c r="R2138" s="137"/>
      <c r="S2138" s="137"/>
      <c r="T2138" s="137"/>
      <c r="U2138" s="137"/>
      <c r="V2138" s="137"/>
      <c r="W2138" s="137"/>
    </row>
    <row r="2139" spans="1:23" x14ac:dyDescent="0.25">
      <c r="A2139" s="137"/>
      <c r="B2139" s="137"/>
      <c r="C2139" s="137"/>
      <c r="D2139" s="137"/>
      <c r="E2139" s="137"/>
      <c r="F2139" s="137"/>
      <c r="G2139" s="137"/>
      <c r="H2139" s="137"/>
      <c r="I2139" s="137"/>
      <c r="J2139" s="137"/>
      <c r="K2139" s="137"/>
      <c r="L2139" s="137"/>
      <c r="M2139" s="137"/>
      <c r="N2139" s="137"/>
      <c r="O2139" s="137"/>
      <c r="P2139" s="137"/>
      <c r="Q2139" s="137"/>
      <c r="R2139" s="137"/>
      <c r="S2139" s="137"/>
      <c r="T2139" s="137"/>
      <c r="U2139" s="137"/>
      <c r="V2139" s="137"/>
      <c r="W2139" s="137"/>
    </row>
    <row r="2140" spans="1:23" x14ac:dyDescent="0.25">
      <c r="A2140" s="137"/>
      <c r="B2140" s="137"/>
      <c r="C2140" s="137"/>
      <c r="D2140" s="137"/>
      <c r="E2140" s="137"/>
      <c r="F2140" s="137"/>
      <c r="G2140" s="137"/>
      <c r="H2140" s="137"/>
      <c r="I2140" s="137"/>
      <c r="J2140" s="137"/>
      <c r="K2140" s="137"/>
      <c r="L2140" s="137"/>
      <c r="M2140" s="137"/>
      <c r="N2140" s="137"/>
      <c r="O2140" s="137"/>
      <c r="P2140" s="137"/>
      <c r="Q2140" s="137"/>
      <c r="R2140" s="137"/>
      <c r="S2140" s="137"/>
      <c r="T2140" s="137"/>
      <c r="U2140" s="137"/>
      <c r="V2140" s="137"/>
      <c r="W2140" s="137"/>
    </row>
    <row r="2141" spans="1:23" x14ac:dyDescent="0.25">
      <c r="A2141" s="137"/>
      <c r="B2141" s="137"/>
      <c r="C2141" s="137"/>
      <c r="D2141" s="137"/>
      <c r="E2141" s="137"/>
      <c r="F2141" s="137"/>
      <c r="G2141" s="137"/>
      <c r="H2141" s="137"/>
      <c r="I2141" s="137"/>
      <c r="J2141" s="137"/>
      <c r="K2141" s="137"/>
      <c r="L2141" s="137"/>
      <c r="M2141" s="137"/>
      <c r="N2141" s="137"/>
      <c r="O2141" s="137"/>
      <c r="P2141" s="137"/>
      <c r="Q2141" s="137"/>
      <c r="R2141" s="137"/>
      <c r="S2141" s="137"/>
      <c r="T2141" s="137"/>
      <c r="U2141" s="137"/>
      <c r="V2141" s="137"/>
      <c r="W2141" s="137"/>
    </row>
    <row r="2142" spans="1:23" x14ac:dyDescent="0.25">
      <c r="A2142" s="137"/>
      <c r="B2142" s="137"/>
      <c r="C2142" s="137"/>
      <c r="D2142" s="137"/>
      <c r="E2142" s="137"/>
      <c r="F2142" s="137"/>
      <c r="G2142" s="137"/>
      <c r="H2142" s="137"/>
      <c r="I2142" s="137"/>
      <c r="J2142" s="137"/>
      <c r="K2142" s="137"/>
      <c r="L2142" s="137"/>
      <c r="M2142" s="137"/>
      <c r="N2142" s="137"/>
      <c r="O2142" s="137"/>
      <c r="P2142" s="137"/>
      <c r="Q2142" s="137"/>
      <c r="R2142" s="137"/>
      <c r="S2142" s="137"/>
      <c r="T2142" s="137"/>
      <c r="U2142" s="137"/>
      <c r="V2142" s="137"/>
      <c r="W2142" s="137"/>
    </row>
    <row r="2143" spans="1:23" x14ac:dyDescent="0.25">
      <c r="A2143" s="137"/>
      <c r="B2143" s="137"/>
      <c r="C2143" s="137"/>
      <c r="D2143" s="137"/>
      <c r="E2143" s="137"/>
      <c r="F2143" s="137"/>
      <c r="G2143" s="137"/>
      <c r="H2143" s="137"/>
      <c r="I2143" s="137"/>
      <c r="J2143" s="137"/>
      <c r="K2143" s="137"/>
      <c r="L2143" s="137"/>
      <c r="M2143" s="137"/>
      <c r="N2143" s="137"/>
      <c r="O2143" s="137"/>
      <c r="P2143" s="137"/>
      <c r="Q2143" s="137"/>
      <c r="R2143" s="137"/>
      <c r="S2143" s="137"/>
      <c r="T2143" s="137"/>
      <c r="U2143" s="137"/>
      <c r="V2143" s="137"/>
      <c r="W2143" s="137"/>
    </row>
    <row r="2144" spans="1:23" x14ac:dyDescent="0.25">
      <c r="A2144" s="137"/>
      <c r="B2144" s="137"/>
      <c r="C2144" s="137"/>
      <c r="D2144" s="137"/>
      <c r="E2144" s="137"/>
      <c r="F2144" s="137"/>
      <c r="G2144" s="137"/>
      <c r="H2144" s="137"/>
      <c r="I2144" s="137"/>
      <c r="J2144" s="137"/>
      <c r="K2144" s="137"/>
      <c r="L2144" s="137"/>
      <c r="M2144" s="137"/>
      <c r="N2144" s="137"/>
      <c r="O2144" s="137"/>
      <c r="P2144" s="137"/>
      <c r="Q2144" s="137"/>
      <c r="R2144" s="137"/>
      <c r="S2144" s="137"/>
      <c r="T2144" s="137"/>
      <c r="U2144" s="137"/>
      <c r="V2144" s="137"/>
      <c r="W2144" s="137"/>
    </row>
    <row r="2145" spans="1:23" x14ac:dyDescent="0.25">
      <c r="A2145" s="137"/>
      <c r="B2145" s="137"/>
      <c r="C2145" s="137"/>
      <c r="D2145" s="137"/>
      <c r="E2145" s="137"/>
      <c r="F2145" s="137"/>
      <c r="G2145" s="137"/>
      <c r="H2145" s="137"/>
      <c r="I2145" s="137"/>
      <c r="J2145" s="137"/>
      <c r="K2145" s="137"/>
      <c r="L2145" s="137"/>
      <c r="M2145" s="137"/>
      <c r="N2145" s="137"/>
      <c r="O2145" s="137"/>
      <c r="P2145" s="137"/>
      <c r="Q2145" s="137"/>
      <c r="R2145" s="137"/>
      <c r="S2145" s="137"/>
      <c r="T2145" s="137"/>
      <c r="U2145" s="137"/>
      <c r="V2145" s="137"/>
      <c r="W2145" s="137"/>
    </row>
    <row r="2146" spans="1:23" x14ac:dyDescent="0.25">
      <c r="A2146" s="137"/>
      <c r="B2146" s="137"/>
      <c r="C2146" s="137"/>
      <c r="D2146" s="137"/>
      <c r="E2146" s="137"/>
      <c r="F2146" s="137"/>
      <c r="G2146" s="137"/>
      <c r="H2146" s="137"/>
      <c r="I2146" s="137"/>
      <c r="J2146" s="137"/>
      <c r="K2146" s="137"/>
      <c r="L2146" s="137"/>
      <c r="M2146" s="137"/>
      <c r="N2146" s="137"/>
      <c r="O2146" s="137"/>
      <c r="P2146" s="137"/>
      <c r="Q2146" s="137"/>
      <c r="R2146" s="137"/>
      <c r="S2146" s="137"/>
      <c r="T2146" s="137"/>
      <c r="U2146" s="137"/>
      <c r="V2146" s="137"/>
      <c r="W2146" s="137"/>
    </row>
    <row r="2147" spans="1:23" x14ac:dyDescent="0.25">
      <c r="A2147" s="137"/>
      <c r="B2147" s="137"/>
      <c r="C2147" s="137"/>
      <c r="D2147" s="137"/>
      <c r="E2147" s="137"/>
      <c r="F2147" s="137"/>
      <c r="G2147" s="137"/>
      <c r="H2147" s="137"/>
      <c r="I2147" s="137"/>
      <c r="J2147" s="137"/>
      <c r="K2147" s="137"/>
      <c r="L2147" s="137"/>
      <c r="M2147" s="137"/>
      <c r="N2147" s="137"/>
      <c r="O2147" s="137"/>
      <c r="P2147" s="137"/>
      <c r="Q2147" s="137"/>
      <c r="R2147" s="137"/>
      <c r="S2147" s="137"/>
      <c r="T2147" s="137"/>
      <c r="U2147" s="137"/>
      <c r="V2147" s="137"/>
      <c r="W2147" s="137"/>
    </row>
    <row r="2148" spans="1:23" x14ac:dyDescent="0.25">
      <c r="A2148" s="137"/>
      <c r="B2148" s="137"/>
      <c r="C2148" s="137"/>
      <c r="D2148" s="137"/>
      <c r="E2148" s="137"/>
      <c r="F2148" s="137"/>
      <c r="G2148" s="137"/>
      <c r="H2148" s="137"/>
      <c r="I2148" s="137"/>
      <c r="J2148" s="137"/>
      <c r="K2148" s="137"/>
      <c r="L2148" s="137"/>
      <c r="M2148" s="137"/>
      <c r="N2148" s="137"/>
      <c r="O2148" s="137"/>
      <c r="P2148" s="137"/>
      <c r="Q2148" s="137"/>
      <c r="R2148" s="137"/>
      <c r="S2148" s="137"/>
      <c r="T2148" s="137"/>
      <c r="U2148" s="137"/>
      <c r="V2148" s="137"/>
      <c r="W2148" s="137"/>
    </row>
    <row r="2149" spans="1:23" x14ac:dyDescent="0.25">
      <c r="A2149" s="137"/>
      <c r="B2149" s="137"/>
      <c r="C2149" s="137"/>
      <c r="D2149" s="137"/>
      <c r="E2149" s="137"/>
      <c r="F2149" s="137"/>
      <c r="G2149" s="137"/>
      <c r="H2149" s="137"/>
      <c r="I2149" s="137"/>
      <c r="J2149" s="137"/>
      <c r="K2149" s="137"/>
      <c r="L2149" s="137"/>
      <c r="M2149" s="137"/>
      <c r="N2149" s="137"/>
      <c r="O2149" s="137"/>
      <c r="P2149" s="137"/>
      <c r="Q2149" s="137"/>
      <c r="R2149" s="137"/>
      <c r="S2149" s="137"/>
      <c r="T2149" s="137"/>
      <c r="U2149" s="137"/>
      <c r="V2149" s="137"/>
      <c r="W2149" s="137"/>
    </row>
    <row r="2150" spans="1:23" x14ac:dyDescent="0.25">
      <c r="A2150" s="137"/>
      <c r="B2150" s="137"/>
      <c r="C2150" s="137"/>
      <c r="D2150" s="137"/>
      <c r="E2150" s="137"/>
      <c r="F2150" s="137"/>
      <c r="G2150" s="137"/>
      <c r="H2150" s="137"/>
      <c r="I2150" s="137"/>
      <c r="J2150" s="137"/>
      <c r="K2150" s="137"/>
      <c r="L2150" s="137"/>
      <c r="M2150" s="137"/>
      <c r="N2150" s="137"/>
      <c r="O2150" s="137"/>
      <c r="P2150" s="137"/>
      <c r="Q2150" s="137"/>
      <c r="R2150" s="137"/>
      <c r="S2150" s="137"/>
      <c r="T2150" s="137"/>
      <c r="U2150" s="137"/>
      <c r="V2150" s="137"/>
      <c r="W2150" s="137"/>
    </row>
    <row r="2151" spans="1:23" x14ac:dyDescent="0.25">
      <c r="A2151" s="137"/>
      <c r="B2151" s="137"/>
      <c r="C2151" s="137"/>
      <c r="D2151" s="137"/>
      <c r="E2151" s="137"/>
      <c r="F2151" s="137"/>
      <c r="G2151" s="137"/>
      <c r="H2151" s="137"/>
      <c r="I2151" s="137"/>
      <c r="J2151" s="137"/>
      <c r="K2151" s="137"/>
      <c r="L2151" s="137"/>
      <c r="M2151" s="137"/>
      <c r="N2151" s="137"/>
      <c r="O2151" s="137"/>
      <c r="P2151" s="137"/>
      <c r="Q2151" s="137"/>
      <c r="R2151" s="137"/>
      <c r="S2151" s="137"/>
      <c r="T2151" s="137"/>
      <c r="U2151" s="137"/>
      <c r="V2151" s="137"/>
      <c r="W2151" s="137"/>
    </row>
    <row r="2152" spans="1:23" x14ac:dyDescent="0.25">
      <c r="A2152" s="137"/>
      <c r="B2152" s="137"/>
      <c r="C2152" s="137"/>
      <c r="D2152" s="137"/>
      <c r="E2152" s="137"/>
      <c r="F2152" s="137"/>
      <c r="G2152" s="137"/>
      <c r="H2152" s="137"/>
      <c r="I2152" s="137"/>
      <c r="J2152" s="137"/>
      <c r="K2152" s="137"/>
      <c r="L2152" s="137"/>
      <c r="M2152" s="137"/>
      <c r="N2152" s="137"/>
      <c r="O2152" s="137"/>
      <c r="P2152" s="137"/>
      <c r="Q2152" s="137"/>
      <c r="R2152" s="137"/>
      <c r="S2152" s="137"/>
      <c r="T2152" s="137"/>
      <c r="U2152" s="137"/>
      <c r="V2152" s="137"/>
      <c r="W2152" s="137"/>
    </row>
    <row r="2153" spans="1:23" x14ac:dyDescent="0.25">
      <c r="A2153" s="137"/>
      <c r="B2153" s="137"/>
      <c r="C2153" s="137"/>
      <c r="D2153" s="137"/>
      <c r="E2153" s="137"/>
      <c r="F2153" s="137"/>
      <c r="G2153" s="137"/>
      <c r="H2153" s="137"/>
      <c r="I2153" s="137"/>
      <c r="J2153" s="137"/>
      <c r="K2153" s="137"/>
      <c r="L2153" s="137"/>
      <c r="M2153" s="137"/>
      <c r="N2153" s="137"/>
      <c r="O2153" s="137"/>
      <c r="P2153" s="137"/>
      <c r="Q2153" s="137"/>
      <c r="R2153" s="137"/>
      <c r="S2153" s="137"/>
      <c r="T2153" s="137"/>
      <c r="U2153" s="137"/>
      <c r="V2153" s="137"/>
      <c r="W2153" s="137"/>
    </row>
    <row r="2154" spans="1:23" x14ac:dyDescent="0.25">
      <c r="A2154" s="137"/>
      <c r="B2154" s="137"/>
      <c r="C2154" s="137"/>
      <c r="D2154" s="137"/>
      <c r="E2154" s="137"/>
      <c r="F2154" s="137"/>
      <c r="G2154" s="137"/>
      <c r="H2154" s="137"/>
      <c r="I2154" s="137"/>
      <c r="J2154" s="137"/>
      <c r="K2154" s="137"/>
      <c r="L2154" s="137"/>
      <c r="M2154" s="137"/>
      <c r="N2154" s="137"/>
      <c r="O2154" s="137"/>
      <c r="P2154" s="137"/>
      <c r="Q2154" s="137"/>
      <c r="R2154" s="137"/>
      <c r="S2154" s="137"/>
      <c r="T2154" s="137"/>
      <c r="U2154" s="137"/>
      <c r="V2154" s="137"/>
      <c r="W2154" s="137"/>
    </row>
    <row r="2155" spans="1:23" x14ac:dyDescent="0.25">
      <c r="A2155" s="137"/>
      <c r="B2155" s="137"/>
      <c r="C2155" s="137"/>
      <c r="D2155" s="137"/>
      <c r="E2155" s="137"/>
      <c r="F2155" s="137"/>
      <c r="G2155" s="137"/>
      <c r="H2155" s="137"/>
      <c r="I2155" s="137"/>
      <c r="J2155" s="137"/>
      <c r="K2155" s="137"/>
      <c r="L2155" s="137"/>
      <c r="M2155" s="137"/>
      <c r="N2155" s="137"/>
      <c r="O2155" s="137"/>
      <c r="P2155" s="137"/>
      <c r="Q2155" s="137"/>
      <c r="R2155" s="137"/>
      <c r="S2155" s="137"/>
      <c r="T2155" s="137"/>
      <c r="U2155" s="137"/>
      <c r="V2155" s="137"/>
      <c r="W2155" s="137"/>
    </row>
    <row r="2156" spans="1:23" x14ac:dyDescent="0.25">
      <c r="A2156" s="137"/>
      <c r="B2156" s="137"/>
      <c r="C2156" s="137"/>
      <c r="D2156" s="137"/>
      <c r="E2156" s="137"/>
      <c r="F2156" s="137"/>
      <c r="G2156" s="137"/>
      <c r="H2156" s="137"/>
      <c r="I2156" s="137"/>
      <c r="J2156" s="137"/>
      <c r="K2156" s="137"/>
      <c r="L2156" s="137"/>
      <c r="M2156" s="137"/>
      <c r="N2156" s="137"/>
      <c r="O2156" s="137"/>
      <c r="P2156" s="137"/>
      <c r="Q2156" s="137"/>
      <c r="R2156" s="137"/>
      <c r="S2156" s="137"/>
      <c r="T2156" s="137"/>
      <c r="U2156" s="137"/>
      <c r="V2156" s="137"/>
      <c r="W2156" s="137"/>
    </row>
    <row r="2157" spans="1:23" x14ac:dyDescent="0.25">
      <c r="A2157" s="137"/>
      <c r="B2157" s="137"/>
      <c r="C2157" s="137"/>
      <c r="D2157" s="137"/>
      <c r="E2157" s="137"/>
      <c r="F2157" s="137"/>
      <c r="G2157" s="137"/>
      <c r="H2157" s="137"/>
      <c r="I2157" s="137"/>
      <c r="J2157" s="137"/>
      <c r="K2157" s="137"/>
      <c r="L2157" s="137"/>
      <c r="M2157" s="137"/>
      <c r="N2157" s="137"/>
      <c r="O2157" s="137"/>
      <c r="P2157" s="137"/>
      <c r="Q2157" s="137"/>
      <c r="R2157" s="137"/>
      <c r="S2157" s="137"/>
      <c r="T2157" s="137"/>
      <c r="U2157" s="137"/>
      <c r="V2157" s="137"/>
      <c r="W2157" s="137"/>
    </row>
    <row r="2158" spans="1:23" x14ac:dyDescent="0.25">
      <c r="A2158" s="137"/>
      <c r="B2158" s="137"/>
      <c r="C2158" s="137"/>
      <c r="D2158" s="137"/>
      <c r="E2158" s="137"/>
      <c r="F2158" s="137"/>
      <c r="G2158" s="137"/>
      <c r="H2158" s="137"/>
      <c r="I2158" s="137"/>
      <c r="J2158" s="137"/>
      <c r="K2158" s="137"/>
      <c r="L2158" s="137"/>
      <c r="M2158" s="137"/>
      <c r="N2158" s="137"/>
      <c r="O2158" s="137"/>
      <c r="P2158" s="137"/>
      <c r="Q2158" s="137"/>
      <c r="R2158" s="137"/>
      <c r="S2158" s="137"/>
      <c r="T2158" s="137"/>
      <c r="U2158" s="137"/>
      <c r="V2158" s="137"/>
      <c r="W2158" s="137"/>
    </row>
    <row r="2159" spans="1:23" x14ac:dyDescent="0.25">
      <c r="A2159" s="137"/>
      <c r="B2159" s="137"/>
      <c r="C2159" s="137"/>
      <c r="D2159" s="137"/>
      <c r="E2159" s="137"/>
      <c r="F2159" s="137"/>
      <c r="G2159" s="137"/>
      <c r="H2159" s="137"/>
      <c r="I2159" s="137"/>
      <c r="J2159" s="137"/>
      <c r="K2159" s="137"/>
      <c r="L2159" s="137"/>
      <c r="M2159" s="137"/>
      <c r="N2159" s="137"/>
      <c r="O2159" s="137"/>
      <c r="P2159" s="137"/>
      <c r="Q2159" s="137"/>
      <c r="R2159" s="137"/>
      <c r="S2159" s="137"/>
      <c r="T2159" s="137"/>
      <c r="U2159" s="137"/>
      <c r="V2159" s="137"/>
      <c r="W2159" s="137"/>
    </row>
    <row r="2160" spans="1:23" x14ac:dyDescent="0.25">
      <c r="A2160" s="137"/>
      <c r="B2160" s="137"/>
      <c r="C2160" s="137"/>
      <c r="D2160" s="137"/>
      <c r="E2160" s="137"/>
      <c r="F2160" s="137"/>
      <c r="G2160" s="137"/>
      <c r="H2160" s="137"/>
      <c r="I2160" s="137"/>
      <c r="J2160" s="137"/>
      <c r="K2160" s="137"/>
      <c r="L2160" s="137"/>
      <c r="M2160" s="137"/>
      <c r="N2160" s="137"/>
      <c r="O2160" s="137"/>
      <c r="P2160" s="137"/>
      <c r="Q2160" s="137"/>
      <c r="R2160" s="137"/>
      <c r="S2160" s="137"/>
      <c r="T2160" s="137"/>
      <c r="U2160" s="137"/>
      <c r="V2160" s="137"/>
      <c r="W2160" s="137"/>
    </row>
    <row r="2161" spans="1:23" x14ac:dyDescent="0.25">
      <c r="A2161" s="137"/>
      <c r="B2161" s="137"/>
      <c r="C2161" s="137"/>
      <c r="D2161" s="137"/>
      <c r="E2161" s="137"/>
      <c r="F2161" s="137"/>
      <c r="G2161" s="137"/>
      <c r="H2161" s="137"/>
      <c r="I2161" s="137"/>
      <c r="J2161" s="137"/>
      <c r="K2161" s="137"/>
      <c r="L2161" s="137"/>
      <c r="M2161" s="137"/>
      <c r="N2161" s="137"/>
      <c r="O2161" s="137"/>
      <c r="P2161" s="137"/>
      <c r="Q2161" s="137"/>
      <c r="R2161" s="137"/>
      <c r="S2161" s="137"/>
      <c r="T2161" s="137"/>
      <c r="U2161" s="137"/>
      <c r="V2161" s="137"/>
      <c r="W2161" s="137"/>
    </row>
    <row r="2162" spans="1:23" x14ac:dyDescent="0.25">
      <c r="A2162" s="137"/>
      <c r="B2162" s="137"/>
      <c r="C2162" s="137"/>
      <c r="D2162" s="137"/>
      <c r="E2162" s="137"/>
      <c r="F2162" s="137"/>
      <c r="G2162" s="137"/>
      <c r="H2162" s="137"/>
      <c r="I2162" s="137"/>
      <c r="J2162" s="137"/>
      <c r="K2162" s="137"/>
      <c r="L2162" s="137"/>
      <c r="M2162" s="137"/>
      <c r="N2162" s="137"/>
      <c r="O2162" s="137"/>
      <c r="P2162" s="137"/>
      <c r="Q2162" s="137"/>
      <c r="R2162" s="137"/>
      <c r="S2162" s="137"/>
      <c r="T2162" s="137"/>
      <c r="U2162" s="137"/>
      <c r="V2162" s="137"/>
      <c r="W2162" s="137"/>
    </row>
    <row r="2163" spans="1:23" x14ac:dyDescent="0.25">
      <c r="A2163" s="137"/>
      <c r="B2163" s="137"/>
      <c r="C2163" s="137"/>
      <c r="D2163" s="137"/>
      <c r="E2163" s="137"/>
      <c r="F2163" s="137"/>
      <c r="G2163" s="137"/>
      <c r="H2163" s="137"/>
      <c r="I2163" s="137"/>
      <c r="J2163" s="137"/>
      <c r="K2163" s="137"/>
      <c r="L2163" s="137"/>
      <c r="M2163" s="137"/>
      <c r="N2163" s="137"/>
      <c r="O2163" s="137"/>
      <c r="P2163" s="137"/>
      <c r="Q2163" s="137"/>
      <c r="R2163" s="137"/>
      <c r="S2163" s="137"/>
      <c r="T2163" s="137"/>
      <c r="U2163" s="137"/>
      <c r="V2163" s="137"/>
      <c r="W2163" s="137"/>
    </row>
    <row r="2164" spans="1:23" x14ac:dyDescent="0.25">
      <c r="A2164" s="137"/>
      <c r="B2164" s="137"/>
      <c r="C2164" s="137"/>
      <c r="D2164" s="137"/>
      <c r="E2164" s="137"/>
      <c r="F2164" s="137"/>
      <c r="G2164" s="137"/>
      <c r="H2164" s="137"/>
      <c r="I2164" s="137"/>
      <c r="J2164" s="137"/>
      <c r="K2164" s="137"/>
      <c r="L2164" s="137"/>
      <c r="M2164" s="137"/>
      <c r="N2164" s="137"/>
      <c r="O2164" s="137"/>
      <c r="P2164" s="137"/>
      <c r="Q2164" s="137"/>
      <c r="R2164" s="137"/>
      <c r="S2164" s="137"/>
      <c r="T2164" s="137"/>
      <c r="U2164" s="137"/>
      <c r="V2164" s="137"/>
      <c r="W2164" s="137"/>
    </row>
    <row r="2165" spans="1:23" x14ac:dyDescent="0.25">
      <c r="A2165" s="137"/>
      <c r="B2165" s="137"/>
      <c r="C2165" s="137"/>
      <c r="D2165" s="137"/>
      <c r="E2165" s="137"/>
      <c r="F2165" s="137"/>
      <c r="G2165" s="137"/>
      <c r="H2165" s="137"/>
      <c r="I2165" s="137"/>
      <c r="J2165" s="137"/>
      <c r="K2165" s="137"/>
      <c r="L2165" s="137"/>
      <c r="M2165" s="137"/>
      <c r="N2165" s="137"/>
      <c r="O2165" s="137"/>
      <c r="P2165" s="137"/>
      <c r="Q2165" s="137"/>
      <c r="R2165" s="137"/>
      <c r="S2165" s="137"/>
      <c r="T2165" s="137"/>
      <c r="U2165" s="137"/>
      <c r="V2165" s="137"/>
      <c r="W2165" s="137"/>
    </row>
    <row r="2166" spans="1:23" x14ac:dyDescent="0.25">
      <c r="A2166" s="137"/>
      <c r="B2166" s="137"/>
      <c r="C2166" s="137"/>
      <c r="D2166" s="137"/>
      <c r="E2166" s="137"/>
      <c r="F2166" s="137"/>
      <c r="G2166" s="137"/>
      <c r="H2166" s="137"/>
      <c r="I2166" s="137"/>
      <c r="J2166" s="137"/>
      <c r="K2166" s="137"/>
      <c r="L2166" s="137"/>
      <c r="M2166" s="137"/>
      <c r="N2166" s="137"/>
      <c r="O2166" s="137"/>
      <c r="P2166" s="137"/>
      <c r="Q2166" s="137"/>
      <c r="R2166" s="137"/>
      <c r="S2166" s="137"/>
      <c r="T2166" s="137"/>
      <c r="U2166" s="137"/>
      <c r="V2166" s="137"/>
      <c r="W2166" s="137"/>
    </row>
    <row r="2167" spans="1:23" x14ac:dyDescent="0.25">
      <c r="A2167" s="137"/>
      <c r="B2167" s="137"/>
      <c r="C2167" s="137"/>
      <c r="D2167" s="137"/>
      <c r="E2167" s="137"/>
      <c r="F2167" s="137"/>
      <c r="G2167" s="137"/>
      <c r="H2167" s="137"/>
      <c r="I2167" s="137"/>
      <c r="J2167" s="137"/>
      <c r="K2167" s="137"/>
      <c r="L2167" s="137"/>
      <c r="M2167" s="137"/>
      <c r="N2167" s="137"/>
      <c r="O2167" s="137"/>
      <c r="P2167" s="137"/>
      <c r="Q2167" s="137"/>
      <c r="R2167" s="137"/>
      <c r="S2167" s="137"/>
      <c r="T2167" s="137"/>
      <c r="U2167" s="137"/>
      <c r="V2167" s="137"/>
      <c r="W2167" s="137"/>
    </row>
    <row r="2168" spans="1:23" x14ac:dyDescent="0.25">
      <c r="A2168" s="137"/>
      <c r="B2168" s="137"/>
      <c r="C2168" s="137"/>
      <c r="D2168" s="137"/>
      <c r="E2168" s="137"/>
      <c r="F2168" s="137"/>
      <c r="G2168" s="137"/>
      <c r="H2168" s="137"/>
      <c r="I2168" s="137"/>
      <c r="J2168" s="137"/>
      <c r="K2168" s="137"/>
      <c r="L2168" s="137"/>
      <c r="M2168" s="137"/>
      <c r="N2168" s="137"/>
      <c r="O2168" s="137"/>
      <c r="P2168" s="137"/>
      <c r="Q2168" s="137"/>
      <c r="R2168" s="137"/>
      <c r="S2168" s="137"/>
      <c r="T2168" s="137"/>
      <c r="U2168" s="137"/>
      <c r="V2168" s="137"/>
      <c r="W2168" s="137"/>
    </row>
    <row r="2169" spans="1:23" x14ac:dyDescent="0.25">
      <c r="A2169" s="137"/>
      <c r="B2169" s="137"/>
      <c r="C2169" s="137"/>
      <c r="D2169" s="137"/>
      <c r="E2169" s="137"/>
      <c r="F2169" s="137"/>
      <c r="G2169" s="137"/>
      <c r="H2169" s="137"/>
      <c r="I2169" s="137"/>
      <c r="J2169" s="137"/>
      <c r="K2169" s="137"/>
      <c r="L2169" s="137"/>
      <c r="M2169" s="137"/>
      <c r="N2169" s="137"/>
      <c r="O2169" s="137"/>
      <c r="P2169" s="137"/>
      <c r="Q2169" s="137"/>
      <c r="R2169" s="137"/>
      <c r="S2169" s="137"/>
      <c r="T2169" s="137"/>
      <c r="U2169" s="137"/>
      <c r="V2169" s="137"/>
      <c r="W2169" s="137"/>
    </row>
    <row r="2170" spans="1:23" x14ac:dyDescent="0.25">
      <c r="A2170" s="137"/>
      <c r="B2170" s="137"/>
      <c r="C2170" s="137"/>
      <c r="D2170" s="137"/>
      <c r="E2170" s="137"/>
      <c r="F2170" s="137"/>
      <c r="G2170" s="137"/>
      <c r="H2170" s="137"/>
      <c r="I2170" s="137"/>
      <c r="J2170" s="137"/>
      <c r="K2170" s="137"/>
      <c r="L2170" s="137"/>
      <c r="M2170" s="137"/>
      <c r="N2170" s="137"/>
      <c r="O2170" s="137"/>
      <c r="P2170" s="137"/>
      <c r="Q2170" s="137"/>
      <c r="R2170" s="137"/>
      <c r="S2170" s="137"/>
      <c r="T2170" s="137"/>
      <c r="U2170" s="137"/>
      <c r="V2170" s="137"/>
      <c r="W2170" s="137"/>
    </row>
    <row r="2171" spans="1:23" x14ac:dyDescent="0.25">
      <c r="A2171" s="137"/>
      <c r="B2171" s="137"/>
      <c r="C2171" s="137"/>
      <c r="D2171" s="137"/>
      <c r="E2171" s="137"/>
      <c r="F2171" s="137"/>
      <c r="G2171" s="137"/>
      <c r="H2171" s="137"/>
      <c r="I2171" s="137"/>
      <c r="J2171" s="137"/>
      <c r="K2171" s="137"/>
      <c r="L2171" s="137"/>
      <c r="M2171" s="137"/>
      <c r="N2171" s="137"/>
      <c r="O2171" s="137"/>
      <c r="P2171" s="137"/>
      <c r="Q2171" s="137"/>
      <c r="R2171" s="137"/>
      <c r="S2171" s="137"/>
      <c r="T2171" s="137"/>
      <c r="U2171" s="137"/>
      <c r="V2171" s="137"/>
      <c r="W2171" s="137"/>
    </row>
    <row r="2172" spans="1:23" x14ac:dyDescent="0.25">
      <c r="A2172" s="137"/>
      <c r="B2172" s="137"/>
      <c r="C2172" s="137"/>
      <c r="D2172" s="137"/>
      <c r="E2172" s="137"/>
      <c r="F2172" s="137"/>
      <c r="G2172" s="137"/>
      <c r="H2172" s="137"/>
      <c r="I2172" s="137"/>
      <c r="J2172" s="137"/>
      <c r="K2172" s="137"/>
      <c r="L2172" s="137"/>
      <c r="M2172" s="137"/>
      <c r="N2172" s="137"/>
      <c r="O2172" s="137"/>
      <c r="P2172" s="137"/>
      <c r="Q2172" s="137"/>
      <c r="R2172" s="137"/>
      <c r="S2172" s="137"/>
      <c r="T2172" s="137"/>
      <c r="U2172" s="137"/>
      <c r="V2172" s="137"/>
      <c r="W2172" s="137"/>
    </row>
    <row r="2173" spans="1:23" x14ac:dyDescent="0.25">
      <c r="A2173" s="137"/>
      <c r="B2173" s="137"/>
      <c r="C2173" s="137"/>
      <c r="D2173" s="137"/>
      <c r="E2173" s="137"/>
      <c r="F2173" s="137"/>
      <c r="G2173" s="137"/>
      <c r="H2173" s="137"/>
      <c r="I2173" s="137"/>
      <c r="J2173" s="137"/>
      <c r="K2173" s="137"/>
      <c r="L2173" s="137"/>
      <c r="M2173" s="137"/>
      <c r="N2173" s="137"/>
      <c r="O2173" s="137"/>
      <c r="P2173" s="137"/>
      <c r="Q2173" s="137"/>
      <c r="R2173" s="137"/>
      <c r="S2173" s="137"/>
      <c r="T2173" s="137"/>
      <c r="U2173" s="137"/>
      <c r="V2173" s="137"/>
      <c r="W2173" s="137"/>
    </row>
    <row r="2174" spans="1:23" x14ac:dyDescent="0.25">
      <c r="A2174" s="137"/>
      <c r="B2174" s="137"/>
      <c r="C2174" s="137"/>
      <c r="D2174" s="137"/>
      <c r="E2174" s="137"/>
      <c r="F2174" s="137"/>
      <c r="G2174" s="137"/>
      <c r="H2174" s="137"/>
      <c r="I2174" s="137"/>
      <c r="J2174" s="137"/>
      <c r="K2174" s="137"/>
      <c r="L2174" s="137"/>
      <c r="M2174" s="137"/>
      <c r="N2174" s="137"/>
      <c r="O2174" s="137"/>
      <c r="P2174" s="137"/>
      <c r="Q2174" s="137"/>
      <c r="R2174" s="137"/>
      <c r="S2174" s="137"/>
      <c r="T2174" s="137"/>
      <c r="U2174" s="137"/>
      <c r="V2174" s="137"/>
      <c r="W2174" s="137"/>
    </row>
    <row r="2175" spans="1:23" x14ac:dyDescent="0.25">
      <c r="A2175" s="137"/>
      <c r="B2175" s="137"/>
      <c r="C2175" s="137"/>
      <c r="D2175" s="137"/>
      <c r="E2175" s="137"/>
      <c r="F2175" s="137"/>
      <c r="G2175" s="137"/>
      <c r="H2175" s="137"/>
      <c r="I2175" s="137"/>
      <c r="J2175" s="137"/>
      <c r="K2175" s="137"/>
      <c r="L2175" s="137"/>
      <c r="M2175" s="137"/>
      <c r="N2175" s="137"/>
      <c r="O2175" s="137"/>
      <c r="P2175" s="137"/>
      <c r="Q2175" s="137"/>
      <c r="R2175" s="137"/>
      <c r="S2175" s="137"/>
      <c r="T2175" s="137"/>
      <c r="U2175" s="137"/>
      <c r="V2175" s="137"/>
      <c r="W2175" s="137"/>
    </row>
    <row r="2176" spans="1:23" x14ac:dyDescent="0.25">
      <c r="A2176" s="137"/>
      <c r="B2176" s="137"/>
      <c r="C2176" s="137"/>
      <c r="D2176" s="137"/>
      <c r="E2176" s="137"/>
      <c r="F2176" s="137"/>
      <c r="G2176" s="137"/>
      <c r="H2176" s="137"/>
      <c r="I2176" s="137"/>
      <c r="J2176" s="137"/>
      <c r="K2176" s="137"/>
      <c r="L2176" s="137"/>
      <c r="M2176" s="137"/>
      <c r="N2176" s="137"/>
      <c r="O2176" s="137"/>
      <c r="P2176" s="137"/>
      <c r="Q2176" s="137"/>
      <c r="R2176" s="137"/>
      <c r="S2176" s="137"/>
      <c r="T2176" s="137"/>
      <c r="U2176" s="137"/>
      <c r="V2176" s="137"/>
      <c r="W2176" s="137"/>
    </row>
    <row r="2177" spans="1:23" x14ac:dyDescent="0.25">
      <c r="A2177" s="137"/>
      <c r="B2177" s="137"/>
      <c r="C2177" s="137"/>
      <c r="D2177" s="137"/>
      <c r="E2177" s="137"/>
      <c r="F2177" s="137"/>
      <c r="G2177" s="137"/>
      <c r="H2177" s="137"/>
      <c r="I2177" s="137"/>
      <c r="J2177" s="137"/>
      <c r="K2177" s="137"/>
      <c r="L2177" s="137"/>
      <c r="M2177" s="137"/>
      <c r="N2177" s="137"/>
      <c r="O2177" s="137"/>
      <c r="P2177" s="137"/>
      <c r="Q2177" s="137"/>
      <c r="R2177" s="137"/>
      <c r="S2177" s="137"/>
      <c r="T2177" s="137"/>
      <c r="U2177" s="137"/>
      <c r="V2177" s="137"/>
      <c r="W2177" s="137"/>
    </row>
    <row r="2178" spans="1:23" x14ac:dyDescent="0.25">
      <c r="A2178" s="137"/>
      <c r="B2178" s="137"/>
      <c r="C2178" s="137"/>
      <c r="D2178" s="137"/>
      <c r="E2178" s="137"/>
      <c r="F2178" s="137"/>
      <c r="G2178" s="137"/>
      <c r="H2178" s="137"/>
      <c r="I2178" s="137"/>
      <c r="J2178" s="137"/>
      <c r="K2178" s="137"/>
      <c r="L2178" s="137"/>
      <c r="M2178" s="137"/>
      <c r="N2178" s="137"/>
      <c r="O2178" s="137"/>
      <c r="P2178" s="137"/>
      <c r="Q2178" s="137"/>
      <c r="R2178" s="137"/>
      <c r="S2178" s="137"/>
      <c r="T2178" s="137"/>
      <c r="U2178" s="137"/>
      <c r="V2178" s="137"/>
      <c r="W2178" s="137"/>
    </row>
    <row r="2179" spans="1:23" x14ac:dyDescent="0.25">
      <c r="A2179" s="137"/>
      <c r="B2179" s="137"/>
      <c r="C2179" s="137"/>
      <c r="D2179" s="137"/>
      <c r="E2179" s="137"/>
      <c r="F2179" s="137"/>
      <c r="G2179" s="137"/>
      <c r="H2179" s="137"/>
      <c r="I2179" s="137"/>
      <c r="J2179" s="137"/>
      <c r="K2179" s="137"/>
      <c r="L2179" s="137"/>
      <c r="M2179" s="137"/>
      <c r="N2179" s="137"/>
      <c r="O2179" s="137"/>
      <c r="P2179" s="137"/>
      <c r="Q2179" s="137"/>
      <c r="R2179" s="137"/>
      <c r="S2179" s="137"/>
      <c r="T2179" s="137"/>
      <c r="U2179" s="137"/>
      <c r="V2179" s="137"/>
      <c r="W2179" s="137"/>
    </row>
    <row r="2180" spans="1:23" x14ac:dyDescent="0.25">
      <c r="A2180" s="137"/>
      <c r="B2180" s="137"/>
      <c r="C2180" s="137"/>
      <c r="D2180" s="137"/>
      <c r="E2180" s="137"/>
      <c r="F2180" s="137"/>
      <c r="G2180" s="137"/>
      <c r="H2180" s="137"/>
      <c r="I2180" s="137"/>
      <c r="J2180" s="137"/>
      <c r="K2180" s="137"/>
      <c r="L2180" s="137"/>
      <c r="M2180" s="137"/>
      <c r="N2180" s="137"/>
      <c r="O2180" s="137"/>
      <c r="P2180" s="137"/>
      <c r="Q2180" s="137"/>
      <c r="R2180" s="137"/>
      <c r="S2180" s="137"/>
      <c r="T2180" s="137"/>
      <c r="U2180" s="137"/>
      <c r="V2180" s="137"/>
      <c r="W2180" s="137"/>
    </row>
    <row r="2181" spans="1:23" x14ac:dyDescent="0.25">
      <c r="A2181" s="137"/>
      <c r="B2181" s="137"/>
      <c r="C2181" s="137"/>
      <c r="D2181" s="137"/>
      <c r="E2181" s="137"/>
      <c r="F2181" s="137"/>
      <c r="G2181" s="137"/>
      <c r="H2181" s="137"/>
      <c r="I2181" s="137"/>
      <c r="J2181" s="137"/>
      <c r="K2181" s="137"/>
      <c r="L2181" s="137"/>
      <c r="M2181" s="137"/>
      <c r="N2181" s="137"/>
      <c r="O2181" s="137"/>
      <c r="P2181" s="137"/>
      <c r="Q2181" s="137"/>
      <c r="R2181" s="137"/>
      <c r="S2181" s="137"/>
      <c r="T2181" s="137"/>
      <c r="U2181" s="137"/>
      <c r="V2181" s="137"/>
      <c r="W2181" s="137"/>
    </row>
    <row r="2182" spans="1:23" x14ac:dyDescent="0.25">
      <c r="A2182" s="137"/>
      <c r="B2182" s="137"/>
      <c r="C2182" s="137"/>
      <c r="D2182" s="137"/>
      <c r="E2182" s="137"/>
      <c r="F2182" s="137"/>
      <c r="G2182" s="137"/>
      <c r="H2182" s="137"/>
      <c r="I2182" s="137"/>
      <c r="J2182" s="137"/>
      <c r="K2182" s="137"/>
      <c r="L2182" s="137"/>
      <c r="M2182" s="137"/>
      <c r="N2182" s="137"/>
      <c r="O2182" s="137"/>
      <c r="P2182" s="137"/>
      <c r="Q2182" s="137"/>
      <c r="R2182" s="137"/>
      <c r="S2182" s="137"/>
      <c r="T2182" s="137"/>
      <c r="U2182" s="137"/>
      <c r="V2182" s="137"/>
      <c r="W2182" s="137"/>
    </row>
    <row r="2183" spans="1:23" x14ac:dyDescent="0.25">
      <c r="A2183" s="137"/>
      <c r="B2183" s="137"/>
      <c r="C2183" s="137"/>
      <c r="D2183" s="137"/>
      <c r="E2183" s="137"/>
      <c r="F2183" s="137"/>
      <c r="G2183" s="137"/>
      <c r="H2183" s="137"/>
      <c r="I2183" s="137"/>
      <c r="J2183" s="137"/>
      <c r="K2183" s="137"/>
      <c r="L2183" s="137"/>
      <c r="M2183" s="137"/>
      <c r="N2183" s="137"/>
      <c r="O2183" s="137"/>
      <c r="P2183" s="137"/>
      <c r="Q2183" s="137"/>
      <c r="R2183" s="137"/>
      <c r="S2183" s="137"/>
      <c r="T2183" s="137"/>
      <c r="U2183" s="137"/>
      <c r="V2183" s="137"/>
      <c r="W2183" s="137"/>
    </row>
    <row r="2184" spans="1:23" x14ac:dyDescent="0.25">
      <c r="A2184" s="137"/>
      <c r="B2184" s="137"/>
      <c r="C2184" s="137"/>
      <c r="D2184" s="137"/>
      <c r="E2184" s="137"/>
      <c r="F2184" s="137"/>
      <c r="G2184" s="137"/>
      <c r="H2184" s="137"/>
      <c r="I2184" s="137"/>
      <c r="J2184" s="137"/>
      <c r="K2184" s="137"/>
      <c r="L2184" s="137"/>
      <c r="M2184" s="137"/>
      <c r="N2184" s="137"/>
      <c r="O2184" s="137"/>
      <c r="P2184" s="137"/>
      <c r="Q2184" s="137"/>
      <c r="R2184" s="137"/>
      <c r="S2184" s="137"/>
      <c r="T2184" s="137"/>
      <c r="U2184" s="137"/>
      <c r="V2184" s="137"/>
      <c r="W2184" s="137"/>
    </row>
    <row r="2185" spans="1:23" x14ac:dyDescent="0.25">
      <c r="A2185" s="137"/>
      <c r="B2185" s="137"/>
      <c r="C2185" s="137"/>
      <c r="D2185" s="137"/>
      <c r="E2185" s="137"/>
      <c r="F2185" s="137"/>
      <c r="G2185" s="137"/>
      <c r="H2185" s="137"/>
      <c r="I2185" s="137"/>
      <c r="J2185" s="137"/>
      <c r="K2185" s="137"/>
      <c r="L2185" s="137"/>
      <c r="M2185" s="137"/>
      <c r="N2185" s="137"/>
      <c r="O2185" s="137"/>
      <c r="P2185" s="137"/>
      <c r="Q2185" s="137"/>
      <c r="R2185" s="137"/>
      <c r="S2185" s="137"/>
      <c r="T2185" s="137"/>
      <c r="U2185" s="137"/>
      <c r="V2185" s="137"/>
      <c r="W2185" s="137"/>
    </row>
    <row r="2186" spans="1:23" x14ac:dyDescent="0.25">
      <c r="A2186" s="137"/>
      <c r="B2186" s="137"/>
      <c r="C2186" s="137"/>
      <c r="D2186" s="137"/>
      <c r="E2186" s="137"/>
      <c r="F2186" s="137"/>
      <c r="G2186" s="137"/>
      <c r="H2186" s="137"/>
      <c r="I2186" s="137"/>
      <c r="J2186" s="137"/>
      <c r="K2186" s="137"/>
      <c r="L2186" s="137"/>
      <c r="M2186" s="137"/>
      <c r="N2186" s="137"/>
      <c r="O2186" s="137"/>
      <c r="P2186" s="137"/>
      <c r="Q2186" s="137"/>
      <c r="R2186" s="137"/>
      <c r="S2186" s="137"/>
      <c r="T2186" s="137"/>
      <c r="U2186" s="137"/>
      <c r="V2186" s="137"/>
      <c r="W2186" s="137"/>
    </row>
    <row r="2187" spans="1:23" x14ac:dyDescent="0.25">
      <c r="A2187" s="137"/>
      <c r="B2187" s="137"/>
      <c r="C2187" s="137"/>
      <c r="D2187" s="137"/>
      <c r="E2187" s="137"/>
      <c r="F2187" s="137"/>
      <c r="G2187" s="137"/>
      <c r="H2187" s="137"/>
      <c r="I2187" s="137"/>
      <c r="J2187" s="137"/>
      <c r="K2187" s="137"/>
      <c r="L2187" s="137"/>
      <c r="M2187" s="137"/>
      <c r="N2187" s="137"/>
      <c r="O2187" s="137"/>
      <c r="P2187" s="137"/>
      <c r="Q2187" s="137"/>
      <c r="R2187" s="137"/>
      <c r="S2187" s="137"/>
      <c r="T2187" s="137"/>
      <c r="U2187" s="137"/>
      <c r="V2187" s="137"/>
      <c r="W2187" s="137"/>
    </row>
    <row r="2188" spans="1:23" x14ac:dyDescent="0.25">
      <c r="A2188" s="137"/>
      <c r="B2188" s="137"/>
      <c r="C2188" s="137"/>
      <c r="D2188" s="137"/>
      <c r="E2188" s="137"/>
      <c r="F2188" s="137"/>
      <c r="G2188" s="137"/>
      <c r="H2188" s="137"/>
      <c r="I2188" s="137"/>
      <c r="J2188" s="137"/>
      <c r="K2188" s="137"/>
      <c r="L2188" s="137"/>
      <c r="M2188" s="137"/>
      <c r="N2188" s="137"/>
      <c r="O2188" s="137"/>
      <c r="P2188" s="137"/>
      <c r="Q2188" s="137"/>
      <c r="R2188" s="137"/>
      <c r="S2188" s="137"/>
      <c r="T2188" s="137"/>
      <c r="U2188" s="137"/>
      <c r="V2188" s="137"/>
      <c r="W2188" s="137"/>
    </row>
    <row r="2189" spans="1:23" x14ac:dyDescent="0.25">
      <c r="A2189" s="137"/>
      <c r="B2189" s="137"/>
      <c r="C2189" s="137"/>
      <c r="D2189" s="137"/>
      <c r="E2189" s="137"/>
      <c r="F2189" s="137"/>
      <c r="G2189" s="137"/>
      <c r="H2189" s="137"/>
      <c r="I2189" s="137"/>
      <c r="J2189" s="137"/>
      <c r="K2189" s="137"/>
      <c r="L2189" s="137"/>
      <c r="M2189" s="137"/>
      <c r="N2189" s="137"/>
      <c r="O2189" s="137"/>
      <c r="P2189" s="137"/>
      <c r="Q2189" s="137"/>
      <c r="R2189" s="137"/>
      <c r="S2189" s="137"/>
      <c r="T2189" s="137"/>
      <c r="U2189" s="137"/>
      <c r="V2189" s="137"/>
      <c r="W2189" s="137"/>
    </row>
    <row r="2190" spans="1:23" x14ac:dyDescent="0.25">
      <c r="A2190" s="137"/>
      <c r="B2190" s="137"/>
      <c r="C2190" s="137"/>
      <c r="D2190" s="137"/>
      <c r="E2190" s="137"/>
      <c r="F2190" s="137"/>
      <c r="G2190" s="137"/>
      <c r="H2190" s="137"/>
      <c r="I2190" s="137"/>
      <c r="J2190" s="137"/>
      <c r="K2190" s="137"/>
      <c r="L2190" s="137"/>
      <c r="M2190" s="137"/>
      <c r="N2190" s="137"/>
      <c r="O2190" s="137"/>
      <c r="P2190" s="137"/>
      <c r="Q2190" s="137"/>
      <c r="R2190" s="137"/>
      <c r="S2190" s="137"/>
      <c r="T2190" s="137"/>
      <c r="U2190" s="137"/>
      <c r="V2190" s="137"/>
      <c r="W2190" s="137"/>
    </row>
    <row r="2191" spans="1:23" x14ac:dyDescent="0.25">
      <c r="A2191" s="137"/>
      <c r="B2191" s="137"/>
      <c r="C2191" s="137"/>
      <c r="D2191" s="137"/>
      <c r="E2191" s="137"/>
      <c r="F2191" s="137"/>
      <c r="G2191" s="137"/>
      <c r="H2191" s="137"/>
      <c r="I2191" s="137"/>
      <c r="J2191" s="137"/>
      <c r="K2191" s="137"/>
      <c r="L2191" s="137"/>
      <c r="M2191" s="137"/>
      <c r="N2191" s="137"/>
      <c r="O2191" s="137"/>
      <c r="P2191" s="137"/>
      <c r="Q2191" s="137"/>
      <c r="R2191" s="137"/>
      <c r="S2191" s="137"/>
      <c r="T2191" s="137"/>
      <c r="U2191" s="137"/>
      <c r="V2191" s="137"/>
      <c r="W2191" s="137"/>
    </row>
    <row r="2192" spans="1:23" x14ac:dyDescent="0.25">
      <c r="A2192" s="137"/>
      <c r="B2192" s="137"/>
      <c r="C2192" s="137"/>
      <c r="D2192" s="137"/>
      <c r="E2192" s="137"/>
      <c r="F2192" s="137"/>
      <c r="G2192" s="137"/>
      <c r="H2192" s="137"/>
      <c r="I2192" s="137"/>
      <c r="J2192" s="137"/>
      <c r="K2192" s="137"/>
      <c r="L2192" s="137"/>
      <c r="M2192" s="137"/>
      <c r="N2192" s="137"/>
      <c r="O2192" s="137"/>
      <c r="P2192" s="137"/>
      <c r="Q2192" s="137"/>
      <c r="R2192" s="137"/>
      <c r="S2192" s="137"/>
      <c r="T2192" s="137"/>
      <c r="U2192" s="137"/>
      <c r="V2192" s="137"/>
      <c r="W2192" s="137"/>
    </row>
    <row r="2193" spans="1:23" x14ac:dyDescent="0.25">
      <c r="A2193" s="137"/>
      <c r="B2193" s="137"/>
      <c r="C2193" s="137"/>
      <c r="D2193" s="137"/>
      <c r="E2193" s="137"/>
      <c r="F2193" s="137"/>
      <c r="G2193" s="137"/>
      <c r="H2193" s="137"/>
      <c r="I2193" s="137"/>
      <c r="J2193" s="137"/>
      <c r="K2193" s="137"/>
      <c r="L2193" s="137"/>
      <c r="M2193" s="137"/>
      <c r="N2193" s="137"/>
      <c r="O2193" s="137"/>
      <c r="P2193" s="137"/>
      <c r="Q2193" s="137"/>
      <c r="R2193" s="137"/>
      <c r="S2193" s="137"/>
      <c r="T2193" s="137"/>
      <c r="U2193" s="137"/>
      <c r="V2193" s="137"/>
      <c r="W2193" s="137"/>
    </row>
    <row r="2194" spans="1:23" x14ac:dyDescent="0.25">
      <c r="A2194" s="137"/>
      <c r="B2194" s="137"/>
      <c r="C2194" s="137"/>
      <c r="D2194" s="137"/>
      <c r="E2194" s="137"/>
      <c r="F2194" s="137"/>
      <c r="G2194" s="137"/>
      <c r="H2194" s="137"/>
      <c r="I2194" s="137"/>
      <c r="J2194" s="137"/>
      <c r="K2194" s="137"/>
      <c r="L2194" s="137"/>
      <c r="M2194" s="137"/>
      <c r="N2194" s="137"/>
      <c r="O2194" s="137"/>
      <c r="P2194" s="137"/>
      <c r="Q2194" s="137"/>
      <c r="R2194" s="137"/>
      <c r="S2194" s="137"/>
      <c r="T2194" s="137"/>
      <c r="U2194" s="137"/>
      <c r="V2194" s="137"/>
      <c r="W2194" s="137"/>
    </row>
    <row r="2195" spans="1:23" x14ac:dyDescent="0.25">
      <c r="A2195" s="137"/>
      <c r="B2195" s="137"/>
      <c r="C2195" s="137"/>
      <c r="D2195" s="137"/>
      <c r="E2195" s="137"/>
      <c r="F2195" s="137"/>
      <c r="G2195" s="137"/>
      <c r="H2195" s="137"/>
      <c r="I2195" s="137"/>
      <c r="J2195" s="137"/>
      <c r="K2195" s="137"/>
      <c r="L2195" s="137"/>
      <c r="M2195" s="137"/>
      <c r="N2195" s="137"/>
      <c r="O2195" s="137"/>
      <c r="P2195" s="137"/>
      <c r="Q2195" s="137"/>
      <c r="R2195" s="137"/>
      <c r="S2195" s="137"/>
      <c r="T2195" s="137"/>
      <c r="U2195" s="137"/>
      <c r="V2195" s="137"/>
      <c r="W2195" s="137"/>
    </row>
    <row r="2196" spans="1:23" x14ac:dyDescent="0.25">
      <c r="A2196" s="137"/>
      <c r="B2196" s="137"/>
      <c r="C2196" s="137"/>
      <c r="D2196" s="137"/>
      <c r="E2196" s="137"/>
      <c r="F2196" s="137"/>
      <c r="G2196" s="137"/>
      <c r="H2196" s="137"/>
      <c r="I2196" s="137"/>
      <c r="J2196" s="137"/>
      <c r="K2196" s="137"/>
      <c r="L2196" s="137"/>
      <c r="M2196" s="137"/>
      <c r="N2196" s="137"/>
      <c r="O2196" s="137"/>
      <c r="P2196" s="137"/>
      <c r="Q2196" s="137"/>
      <c r="R2196" s="137"/>
      <c r="S2196" s="137"/>
      <c r="T2196" s="137"/>
      <c r="U2196" s="137"/>
      <c r="V2196" s="137"/>
      <c r="W2196" s="137"/>
    </row>
    <row r="2197" spans="1:23" x14ac:dyDescent="0.25">
      <c r="A2197" s="137"/>
      <c r="B2197" s="137"/>
      <c r="C2197" s="137"/>
      <c r="D2197" s="137"/>
      <c r="E2197" s="137"/>
      <c r="F2197" s="137"/>
      <c r="G2197" s="137"/>
      <c r="H2197" s="137"/>
      <c r="I2197" s="137"/>
      <c r="J2197" s="137"/>
      <c r="K2197" s="137"/>
      <c r="L2197" s="137"/>
      <c r="M2197" s="137"/>
      <c r="N2197" s="137"/>
      <c r="O2197" s="137"/>
      <c r="P2197" s="137"/>
      <c r="Q2197" s="137"/>
      <c r="R2197" s="137"/>
      <c r="S2197" s="137"/>
      <c r="T2197" s="137"/>
      <c r="U2197" s="137"/>
      <c r="V2197" s="137"/>
      <c r="W2197" s="137"/>
    </row>
    <row r="2198" spans="1:23" x14ac:dyDescent="0.25">
      <c r="A2198" s="137"/>
      <c r="B2198" s="137"/>
      <c r="C2198" s="137"/>
      <c r="D2198" s="137"/>
      <c r="E2198" s="137"/>
      <c r="F2198" s="137"/>
      <c r="G2198" s="137"/>
      <c r="H2198" s="137"/>
      <c r="I2198" s="137"/>
      <c r="J2198" s="137"/>
      <c r="K2198" s="137"/>
      <c r="L2198" s="137"/>
      <c r="M2198" s="137"/>
      <c r="N2198" s="137"/>
      <c r="O2198" s="137"/>
      <c r="P2198" s="137"/>
      <c r="Q2198" s="137"/>
      <c r="R2198" s="137"/>
      <c r="S2198" s="137"/>
      <c r="T2198" s="137"/>
      <c r="U2198" s="137"/>
      <c r="V2198" s="137"/>
      <c r="W2198" s="137"/>
    </row>
    <row r="2199" spans="1:23" x14ac:dyDescent="0.25">
      <c r="A2199" s="137"/>
      <c r="B2199" s="137"/>
      <c r="C2199" s="137"/>
      <c r="D2199" s="137"/>
      <c r="E2199" s="137"/>
      <c r="F2199" s="137"/>
      <c r="G2199" s="137"/>
      <c r="H2199" s="137"/>
      <c r="I2199" s="137"/>
      <c r="J2199" s="137"/>
      <c r="K2199" s="137"/>
      <c r="L2199" s="137"/>
      <c r="M2199" s="137"/>
      <c r="N2199" s="137"/>
      <c r="O2199" s="137"/>
      <c r="P2199" s="137"/>
      <c r="Q2199" s="137"/>
      <c r="R2199" s="137"/>
      <c r="S2199" s="137"/>
      <c r="T2199" s="137"/>
      <c r="U2199" s="137"/>
      <c r="V2199" s="137"/>
      <c r="W2199" s="137"/>
    </row>
    <row r="2200" spans="1:23" x14ac:dyDescent="0.25">
      <c r="A2200" s="137"/>
      <c r="B2200" s="137"/>
      <c r="C2200" s="137"/>
      <c r="D2200" s="137"/>
      <c r="E2200" s="137"/>
      <c r="F2200" s="137"/>
      <c r="G2200" s="137"/>
      <c r="H2200" s="137"/>
      <c r="I2200" s="137"/>
      <c r="J2200" s="137"/>
      <c r="K2200" s="137"/>
      <c r="L2200" s="137"/>
      <c r="M2200" s="137"/>
      <c r="N2200" s="137"/>
      <c r="O2200" s="137"/>
      <c r="P2200" s="137"/>
      <c r="Q2200" s="137"/>
      <c r="R2200" s="137"/>
      <c r="S2200" s="137"/>
      <c r="T2200" s="137"/>
      <c r="U2200" s="137"/>
      <c r="V2200" s="137"/>
      <c r="W2200" s="137"/>
    </row>
    <row r="2201" spans="1:23" x14ac:dyDescent="0.25">
      <c r="A2201" s="137"/>
      <c r="B2201" s="137"/>
      <c r="C2201" s="137"/>
      <c r="D2201" s="137"/>
      <c r="E2201" s="137"/>
      <c r="F2201" s="137"/>
      <c r="G2201" s="137"/>
      <c r="H2201" s="137"/>
      <c r="I2201" s="137"/>
      <c r="J2201" s="137"/>
      <c r="K2201" s="137"/>
      <c r="L2201" s="137"/>
      <c r="M2201" s="137"/>
      <c r="N2201" s="137"/>
      <c r="O2201" s="137"/>
      <c r="P2201" s="137"/>
      <c r="Q2201" s="137"/>
      <c r="R2201" s="137"/>
      <c r="S2201" s="137"/>
      <c r="T2201" s="137"/>
      <c r="U2201" s="137"/>
      <c r="V2201" s="137"/>
      <c r="W2201" s="137"/>
    </row>
    <row r="2202" spans="1:23" x14ac:dyDescent="0.25">
      <c r="A2202" s="137"/>
      <c r="B2202" s="137"/>
      <c r="C2202" s="137"/>
      <c r="D2202" s="137"/>
      <c r="E2202" s="137"/>
      <c r="F2202" s="137"/>
      <c r="G2202" s="137"/>
      <c r="H2202" s="137"/>
      <c r="I2202" s="137"/>
      <c r="J2202" s="137"/>
      <c r="K2202" s="137"/>
      <c r="L2202" s="137"/>
      <c r="M2202" s="137"/>
      <c r="N2202" s="137"/>
      <c r="O2202" s="137"/>
      <c r="P2202" s="137"/>
      <c r="Q2202" s="137"/>
      <c r="R2202" s="137"/>
      <c r="S2202" s="137"/>
      <c r="T2202" s="137"/>
      <c r="U2202" s="137"/>
      <c r="V2202" s="137"/>
      <c r="W2202" s="137"/>
    </row>
    <row r="2203" spans="1:23" x14ac:dyDescent="0.25">
      <c r="A2203" s="137"/>
      <c r="B2203" s="137"/>
      <c r="C2203" s="137"/>
      <c r="D2203" s="137"/>
      <c r="E2203" s="137"/>
      <c r="F2203" s="137"/>
      <c r="G2203" s="137"/>
      <c r="H2203" s="137"/>
      <c r="I2203" s="137"/>
      <c r="J2203" s="137"/>
      <c r="K2203" s="137"/>
      <c r="L2203" s="137"/>
      <c r="M2203" s="137"/>
      <c r="N2203" s="137"/>
      <c r="O2203" s="137"/>
      <c r="P2203" s="137"/>
      <c r="Q2203" s="137"/>
      <c r="R2203" s="137"/>
      <c r="S2203" s="137"/>
      <c r="T2203" s="137"/>
      <c r="U2203" s="137"/>
      <c r="V2203" s="137"/>
      <c r="W2203" s="137"/>
    </row>
    <row r="2204" spans="1:23" x14ac:dyDescent="0.25">
      <c r="A2204" s="137"/>
      <c r="B2204" s="137"/>
      <c r="C2204" s="137"/>
      <c r="D2204" s="137"/>
      <c r="E2204" s="137"/>
      <c r="F2204" s="137"/>
      <c r="G2204" s="137"/>
      <c r="H2204" s="137"/>
      <c r="I2204" s="137"/>
      <c r="J2204" s="137"/>
      <c r="K2204" s="137"/>
      <c r="L2204" s="137"/>
      <c r="M2204" s="137"/>
      <c r="N2204" s="137"/>
      <c r="O2204" s="137"/>
      <c r="P2204" s="137"/>
      <c r="Q2204" s="137"/>
      <c r="R2204" s="137"/>
      <c r="S2204" s="137"/>
      <c r="T2204" s="137"/>
      <c r="U2204" s="137"/>
      <c r="V2204" s="137"/>
      <c r="W2204" s="137"/>
    </row>
    <row r="2205" spans="1:23" x14ac:dyDescent="0.25">
      <c r="A2205" s="137"/>
      <c r="B2205" s="137"/>
      <c r="C2205" s="137"/>
      <c r="D2205" s="137"/>
      <c r="E2205" s="137"/>
      <c r="F2205" s="137"/>
      <c r="G2205" s="137"/>
      <c r="H2205" s="137"/>
      <c r="I2205" s="137"/>
      <c r="J2205" s="137"/>
      <c r="K2205" s="137"/>
      <c r="L2205" s="137"/>
      <c r="M2205" s="137"/>
      <c r="N2205" s="137"/>
      <c r="O2205" s="137"/>
      <c r="P2205" s="137"/>
      <c r="Q2205" s="137"/>
      <c r="R2205" s="137"/>
      <c r="S2205" s="137"/>
      <c r="T2205" s="137"/>
      <c r="U2205" s="137"/>
      <c r="V2205" s="137"/>
      <c r="W2205" s="137"/>
    </row>
    <row r="2206" spans="1:23" x14ac:dyDescent="0.25">
      <c r="A2206" s="137"/>
      <c r="B2206" s="137"/>
      <c r="C2206" s="137"/>
      <c r="D2206" s="137"/>
      <c r="E2206" s="137"/>
      <c r="F2206" s="137"/>
      <c r="G2206" s="137"/>
      <c r="H2206" s="137"/>
      <c r="I2206" s="137"/>
      <c r="J2206" s="137"/>
      <c r="K2206" s="137"/>
      <c r="L2206" s="137"/>
      <c r="M2206" s="137"/>
      <c r="N2206" s="137"/>
      <c r="O2206" s="137"/>
      <c r="P2206" s="137"/>
      <c r="Q2206" s="137"/>
      <c r="R2206" s="137"/>
      <c r="S2206" s="137"/>
      <c r="T2206" s="137"/>
      <c r="U2206" s="137"/>
      <c r="V2206" s="137"/>
      <c r="W2206" s="137"/>
    </row>
    <row r="2207" spans="1:23" x14ac:dyDescent="0.25">
      <c r="A2207" s="137"/>
      <c r="B2207" s="137"/>
      <c r="C2207" s="137"/>
      <c r="D2207" s="137"/>
      <c r="E2207" s="137"/>
      <c r="F2207" s="137"/>
      <c r="G2207" s="137"/>
      <c r="H2207" s="137"/>
      <c r="I2207" s="137"/>
      <c r="J2207" s="137"/>
      <c r="K2207" s="137"/>
      <c r="L2207" s="137"/>
      <c r="M2207" s="137"/>
      <c r="N2207" s="137"/>
      <c r="O2207" s="137"/>
      <c r="P2207" s="137"/>
      <c r="Q2207" s="137"/>
      <c r="R2207" s="137"/>
      <c r="S2207" s="137"/>
      <c r="T2207" s="137"/>
      <c r="U2207" s="137"/>
      <c r="V2207" s="137"/>
      <c r="W2207" s="137"/>
    </row>
    <row r="2208" spans="1:23" x14ac:dyDescent="0.25">
      <c r="A2208" s="137"/>
      <c r="B2208" s="137"/>
      <c r="C2208" s="137"/>
      <c r="D2208" s="137"/>
      <c r="E2208" s="137"/>
      <c r="F2208" s="137"/>
      <c r="G2208" s="137"/>
      <c r="H2208" s="137"/>
      <c r="I2208" s="137"/>
      <c r="J2208" s="137"/>
      <c r="K2208" s="137"/>
      <c r="L2208" s="137"/>
      <c r="M2208" s="137"/>
      <c r="N2208" s="137"/>
      <c r="O2208" s="137"/>
      <c r="P2208" s="137"/>
      <c r="Q2208" s="137"/>
      <c r="R2208" s="137"/>
      <c r="S2208" s="137"/>
      <c r="T2208" s="137"/>
      <c r="U2208" s="137"/>
      <c r="V2208" s="137"/>
      <c r="W2208" s="137"/>
    </row>
    <row r="2209" spans="1:23" x14ac:dyDescent="0.25">
      <c r="A2209" s="137"/>
      <c r="B2209" s="137"/>
      <c r="C2209" s="137"/>
      <c r="D2209" s="137"/>
      <c r="E2209" s="137"/>
      <c r="F2209" s="137"/>
      <c r="G2209" s="137"/>
      <c r="H2209" s="137"/>
      <c r="I2209" s="137"/>
      <c r="J2209" s="137"/>
      <c r="K2209" s="137"/>
      <c r="L2209" s="137"/>
      <c r="M2209" s="137"/>
      <c r="N2209" s="137"/>
      <c r="O2209" s="137"/>
      <c r="P2209" s="137"/>
      <c r="Q2209" s="137"/>
      <c r="R2209" s="137"/>
      <c r="S2209" s="137"/>
      <c r="T2209" s="137"/>
      <c r="U2209" s="137"/>
      <c r="V2209" s="137"/>
      <c r="W2209" s="137"/>
    </row>
    <row r="2210" spans="1:23" x14ac:dyDescent="0.25">
      <c r="A2210" s="137"/>
      <c r="B2210" s="137"/>
      <c r="C2210" s="137"/>
      <c r="D2210" s="137"/>
      <c r="E2210" s="137"/>
      <c r="F2210" s="137"/>
      <c r="G2210" s="137"/>
      <c r="H2210" s="137"/>
      <c r="I2210" s="137"/>
      <c r="J2210" s="137"/>
      <c r="K2210" s="137"/>
      <c r="L2210" s="137"/>
      <c r="M2210" s="137"/>
      <c r="N2210" s="137"/>
      <c r="O2210" s="137"/>
      <c r="P2210" s="137"/>
      <c r="Q2210" s="137"/>
      <c r="R2210" s="137"/>
      <c r="S2210" s="137"/>
      <c r="T2210" s="137"/>
      <c r="U2210" s="137"/>
      <c r="V2210" s="137"/>
      <c r="W2210" s="137"/>
    </row>
    <row r="2211" spans="1:23" x14ac:dyDescent="0.25">
      <c r="A2211" s="137"/>
      <c r="B2211" s="137"/>
      <c r="C2211" s="137"/>
      <c r="D2211" s="137"/>
      <c r="E2211" s="137"/>
      <c r="F2211" s="137"/>
      <c r="G2211" s="137"/>
      <c r="H2211" s="137"/>
      <c r="I2211" s="137"/>
      <c r="J2211" s="137"/>
      <c r="K2211" s="137"/>
      <c r="L2211" s="137"/>
      <c r="M2211" s="137"/>
      <c r="N2211" s="137"/>
      <c r="O2211" s="137"/>
      <c r="P2211" s="137"/>
      <c r="Q2211" s="137"/>
      <c r="R2211" s="137"/>
      <c r="S2211" s="137"/>
      <c r="T2211" s="137"/>
      <c r="U2211" s="137"/>
      <c r="V2211" s="137"/>
      <c r="W2211" s="137"/>
    </row>
    <row r="2212" spans="1:23" x14ac:dyDescent="0.25">
      <c r="A2212" s="137"/>
      <c r="B2212" s="137"/>
      <c r="C2212" s="137"/>
      <c r="D2212" s="137"/>
      <c r="E2212" s="137"/>
      <c r="F2212" s="137"/>
      <c r="G2212" s="137"/>
      <c r="H2212" s="137"/>
      <c r="I2212" s="137"/>
      <c r="J2212" s="137"/>
      <c r="K2212" s="137"/>
      <c r="L2212" s="137"/>
      <c r="M2212" s="137"/>
      <c r="N2212" s="137"/>
      <c r="O2212" s="137"/>
      <c r="P2212" s="137"/>
      <c r="Q2212" s="137"/>
      <c r="R2212" s="137"/>
      <c r="S2212" s="137"/>
      <c r="T2212" s="137"/>
      <c r="U2212" s="137"/>
      <c r="V2212" s="137"/>
      <c r="W2212" s="137"/>
    </row>
    <row r="2213" spans="1:23" x14ac:dyDescent="0.25">
      <c r="A2213" s="137"/>
      <c r="B2213" s="137"/>
      <c r="C2213" s="137"/>
      <c r="D2213" s="137"/>
      <c r="E2213" s="137"/>
      <c r="F2213" s="137"/>
      <c r="G2213" s="137"/>
      <c r="H2213" s="137"/>
      <c r="I2213" s="137"/>
      <c r="J2213" s="137"/>
      <c r="K2213" s="137"/>
      <c r="L2213" s="137"/>
      <c r="M2213" s="137"/>
      <c r="N2213" s="137"/>
      <c r="O2213" s="137"/>
      <c r="P2213" s="137"/>
      <c r="Q2213" s="137"/>
      <c r="R2213" s="137"/>
      <c r="S2213" s="137"/>
      <c r="T2213" s="137"/>
      <c r="U2213" s="137"/>
      <c r="V2213" s="137"/>
      <c r="W2213" s="137"/>
    </row>
    <row r="2214" spans="1:23" x14ac:dyDescent="0.25">
      <c r="A2214" s="137"/>
      <c r="B2214" s="137"/>
      <c r="C2214" s="137"/>
      <c r="D2214" s="137"/>
      <c r="E2214" s="137"/>
      <c r="F2214" s="137"/>
      <c r="G2214" s="137"/>
      <c r="H2214" s="137"/>
      <c r="I2214" s="137"/>
      <c r="J2214" s="137"/>
      <c r="K2214" s="137"/>
      <c r="L2214" s="137"/>
      <c r="M2214" s="137"/>
      <c r="N2214" s="137"/>
      <c r="O2214" s="137"/>
      <c r="P2214" s="137"/>
      <c r="Q2214" s="137"/>
      <c r="R2214" s="137"/>
      <c r="S2214" s="137"/>
      <c r="T2214" s="137"/>
      <c r="U2214" s="137"/>
      <c r="V2214" s="137"/>
      <c r="W2214" s="137"/>
    </row>
    <row r="2215" spans="1:23" x14ac:dyDescent="0.25">
      <c r="A2215" s="137"/>
      <c r="B2215" s="137"/>
      <c r="C2215" s="137"/>
      <c r="D2215" s="137"/>
      <c r="E2215" s="137"/>
      <c r="F2215" s="137"/>
      <c r="G2215" s="137"/>
      <c r="H2215" s="137"/>
      <c r="I2215" s="137"/>
      <c r="J2215" s="137"/>
      <c r="K2215" s="137"/>
      <c r="L2215" s="137"/>
      <c r="M2215" s="137"/>
      <c r="N2215" s="137"/>
      <c r="O2215" s="137"/>
      <c r="P2215" s="137"/>
      <c r="Q2215" s="137"/>
      <c r="R2215" s="137"/>
      <c r="S2215" s="137"/>
      <c r="T2215" s="137"/>
      <c r="U2215" s="137"/>
      <c r="V2215" s="137"/>
      <c r="W2215" s="137"/>
    </row>
    <row r="2216" spans="1:23" x14ac:dyDescent="0.25">
      <c r="A2216" s="137"/>
      <c r="B2216" s="137"/>
      <c r="C2216" s="137"/>
      <c r="D2216" s="137"/>
      <c r="E2216" s="137"/>
      <c r="F2216" s="137"/>
      <c r="G2216" s="137"/>
      <c r="H2216" s="137"/>
      <c r="I2216" s="137"/>
      <c r="J2216" s="137"/>
      <c r="K2216" s="137"/>
      <c r="L2216" s="137"/>
      <c r="M2216" s="137"/>
      <c r="N2216" s="137"/>
      <c r="O2216" s="137"/>
      <c r="P2216" s="137"/>
      <c r="Q2216" s="137"/>
      <c r="R2216" s="137"/>
      <c r="S2216" s="137"/>
      <c r="T2216" s="137"/>
      <c r="U2216" s="137"/>
      <c r="V2216" s="137"/>
      <c r="W2216" s="137"/>
    </row>
    <row r="2217" spans="1:23" x14ac:dyDescent="0.25">
      <c r="A2217" s="137"/>
      <c r="B2217" s="137"/>
      <c r="C2217" s="137"/>
      <c r="D2217" s="137"/>
      <c r="E2217" s="137"/>
      <c r="F2217" s="137"/>
      <c r="G2217" s="137"/>
      <c r="H2217" s="137"/>
      <c r="I2217" s="137"/>
      <c r="J2217" s="137"/>
      <c r="K2217" s="137"/>
      <c r="L2217" s="137"/>
      <c r="M2217" s="137"/>
      <c r="N2217" s="137"/>
      <c r="O2217" s="137"/>
      <c r="P2217" s="137"/>
      <c r="Q2217" s="137"/>
      <c r="R2217" s="137"/>
      <c r="S2217" s="137"/>
      <c r="T2217" s="137"/>
      <c r="U2217" s="137"/>
      <c r="V2217" s="137"/>
      <c r="W2217" s="137"/>
    </row>
    <row r="2218" spans="1:23" x14ac:dyDescent="0.25">
      <c r="A2218" s="137"/>
      <c r="B2218" s="137"/>
      <c r="C2218" s="137"/>
      <c r="D2218" s="137"/>
      <c r="E2218" s="137"/>
      <c r="F2218" s="137"/>
      <c r="G2218" s="137"/>
      <c r="H2218" s="137"/>
      <c r="I2218" s="137"/>
      <c r="J2218" s="137"/>
      <c r="K2218" s="137"/>
      <c r="L2218" s="137"/>
      <c r="M2218" s="137"/>
      <c r="N2218" s="137"/>
      <c r="O2218" s="137"/>
      <c r="P2218" s="137"/>
      <c r="Q2218" s="137"/>
      <c r="R2218" s="137"/>
      <c r="S2218" s="137"/>
      <c r="T2218" s="137"/>
      <c r="U2218" s="137"/>
      <c r="V2218" s="137"/>
      <c r="W2218" s="137"/>
    </row>
    <row r="2219" spans="1:23" x14ac:dyDescent="0.25">
      <c r="A2219" s="137"/>
      <c r="B2219" s="137"/>
      <c r="C2219" s="137"/>
      <c r="D2219" s="137"/>
      <c r="E2219" s="137"/>
      <c r="F2219" s="137"/>
      <c r="G2219" s="137"/>
      <c r="H2219" s="137"/>
      <c r="I2219" s="137"/>
      <c r="J2219" s="137"/>
      <c r="K2219" s="137"/>
      <c r="L2219" s="137"/>
      <c r="M2219" s="137"/>
      <c r="N2219" s="137"/>
      <c r="O2219" s="137"/>
      <c r="P2219" s="137"/>
      <c r="Q2219" s="137"/>
      <c r="R2219" s="137"/>
      <c r="S2219" s="137"/>
      <c r="T2219" s="137"/>
      <c r="U2219" s="137"/>
      <c r="V2219" s="137"/>
      <c r="W2219" s="137"/>
    </row>
    <row r="2220" spans="1:23" x14ac:dyDescent="0.25">
      <c r="A2220" s="137"/>
      <c r="B2220" s="137"/>
      <c r="C2220" s="137"/>
      <c r="D2220" s="137"/>
      <c r="E2220" s="137"/>
      <c r="F2220" s="137"/>
      <c r="G2220" s="137"/>
      <c r="H2220" s="137"/>
      <c r="I2220" s="137"/>
      <c r="J2220" s="137"/>
      <c r="K2220" s="137"/>
      <c r="L2220" s="137"/>
      <c r="M2220" s="137"/>
      <c r="N2220" s="137"/>
      <c r="O2220" s="137"/>
      <c r="P2220" s="137"/>
      <c r="Q2220" s="137"/>
      <c r="R2220" s="137"/>
      <c r="S2220" s="137"/>
      <c r="T2220" s="137"/>
      <c r="U2220" s="137"/>
      <c r="V2220" s="137"/>
      <c r="W2220" s="137"/>
    </row>
    <row r="2221" spans="1:23" x14ac:dyDescent="0.25">
      <c r="A2221" s="137"/>
      <c r="B2221" s="137"/>
      <c r="C2221" s="137"/>
      <c r="D2221" s="137"/>
      <c r="E2221" s="137"/>
      <c r="F2221" s="137"/>
      <c r="G2221" s="137"/>
      <c r="H2221" s="137"/>
      <c r="I2221" s="137"/>
      <c r="J2221" s="137"/>
      <c r="K2221" s="137"/>
      <c r="L2221" s="137"/>
      <c r="M2221" s="137"/>
      <c r="N2221" s="137"/>
      <c r="O2221" s="137"/>
      <c r="P2221" s="137"/>
      <c r="Q2221" s="137"/>
      <c r="R2221" s="137"/>
      <c r="S2221" s="137"/>
      <c r="T2221" s="137"/>
      <c r="U2221" s="137"/>
      <c r="V2221" s="137"/>
      <c r="W2221" s="137"/>
    </row>
    <row r="2222" spans="1:23" x14ac:dyDescent="0.25">
      <c r="A2222" s="137"/>
      <c r="B2222" s="137"/>
      <c r="C2222" s="137"/>
      <c r="D2222" s="137"/>
      <c r="E2222" s="137"/>
      <c r="F2222" s="137"/>
      <c r="G2222" s="137"/>
      <c r="H2222" s="137"/>
      <c r="I2222" s="137"/>
      <c r="J2222" s="137"/>
      <c r="K2222" s="137"/>
      <c r="L2222" s="137"/>
      <c r="M2222" s="137"/>
      <c r="N2222" s="137"/>
      <c r="O2222" s="137"/>
      <c r="P2222" s="137"/>
      <c r="Q2222" s="137"/>
      <c r="R2222" s="137"/>
      <c r="S2222" s="137"/>
      <c r="T2222" s="137"/>
      <c r="U2222" s="137"/>
      <c r="V2222" s="137"/>
      <c r="W2222" s="137"/>
    </row>
    <row r="2223" spans="1:23" x14ac:dyDescent="0.25">
      <c r="A2223" s="137"/>
      <c r="B2223" s="137"/>
      <c r="C2223" s="137"/>
      <c r="D2223" s="137"/>
      <c r="E2223" s="137"/>
      <c r="F2223" s="137"/>
      <c r="G2223" s="137"/>
      <c r="H2223" s="137"/>
      <c r="I2223" s="137"/>
      <c r="J2223" s="137"/>
      <c r="K2223" s="137"/>
      <c r="L2223" s="137"/>
      <c r="M2223" s="137"/>
      <c r="N2223" s="137"/>
      <c r="O2223" s="137"/>
      <c r="P2223" s="137"/>
      <c r="Q2223" s="137"/>
      <c r="R2223" s="137"/>
      <c r="S2223" s="137"/>
      <c r="T2223" s="137"/>
      <c r="U2223" s="137"/>
      <c r="V2223" s="137"/>
      <c r="W2223" s="137"/>
    </row>
    <row r="2224" spans="1:23" x14ac:dyDescent="0.25">
      <c r="A2224" s="137"/>
      <c r="B2224" s="137"/>
      <c r="C2224" s="137"/>
      <c r="D2224" s="137"/>
      <c r="E2224" s="137"/>
      <c r="F2224" s="137"/>
      <c r="G2224" s="137"/>
      <c r="H2224" s="137"/>
      <c r="I2224" s="137"/>
      <c r="J2224" s="137"/>
      <c r="K2224" s="137"/>
      <c r="L2224" s="137"/>
      <c r="M2224" s="137"/>
      <c r="N2224" s="137"/>
      <c r="O2224" s="137"/>
      <c r="P2224" s="137"/>
      <c r="Q2224" s="137"/>
      <c r="R2224" s="137"/>
      <c r="S2224" s="137"/>
      <c r="T2224" s="137"/>
      <c r="U2224" s="137"/>
      <c r="V2224" s="137"/>
      <c r="W2224" s="137"/>
    </row>
    <row r="2225" spans="1:23" x14ac:dyDescent="0.25">
      <c r="A2225" s="137"/>
      <c r="B2225" s="137"/>
      <c r="C2225" s="137"/>
      <c r="D2225" s="137"/>
      <c r="E2225" s="137"/>
      <c r="F2225" s="137"/>
      <c r="G2225" s="137"/>
      <c r="H2225" s="137"/>
      <c r="I2225" s="137"/>
      <c r="J2225" s="137"/>
      <c r="K2225" s="137"/>
      <c r="L2225" s="137"/>
      <c r="M2225" s="137"/>
      <c r="N2225" s="137"/>
      <c r="O2225" s="137"/>
      <c r="P2225" s="137"/>
      <c r="Q2225" s="137"/>
      <c r="R2225" s="137"/>
      <c r="S2225" s="137"/>
      <c r="T2225" s="137"/>
      <c r="U2225" s="137"/>
      <c r="V2225" s="137"/>
      <c r="W2225" s="137"/>
    </row>
    <row r="2226" spans="1:23" x14ac:dyDescent="0.25">
      <c r="A2226" s="137"/>
      <c r="B2226" s="137"/>
      <c r="C2226" s="137"/>
      <c r="D2226" s="137"/>
      <c r="E2226" s="137"/>
      <c r="F2226" s="137"/>
      <c r="G2226" s="137"/>
      <c r="H2226" s="137"/>
      <c r="I2226" s="137"/>
      <c r="J2226" s="137"/>
      <c r="K2226" s="137"/>
      <c r="L2226" s="137"/>
      <c r="M2226" s="137"/>
      <c r="N2226" s="137"/>
      <c r="O2226" s="137"/>
      <c r="P2226" s="137"/>
      <c r="Q2226" s="137"/>
      <c r="R2226" s="137"/>
      <c r="S2226" s="137"/>
      <c r="T2226" s="137"/>
      <c r="U2226" s="137"/>
      <c r="V2226" s="137"/>
      <c r="W2226" s="137"/>
    </row>
    <row r="2227" spans="1:23" x14ac:dyDescent="0.25">
      <c r="A2227" s="137"/>
      <c r="B2227" s="137"/>
      <c r="C2227" s="137"/>
      <c r="D2227" s="137"/>
      <c r="E2227" s="137"/>
      <c r="F2227" s="137"/>
      <c r="G2227" s="137"/>
      <c r="H2227" s="137"/>
      <c r="I2227" s="137"/>
      <c r="J2227" s="137"/>
      <c r="K2227" s="137"/>
      <c r="L2227" s="137"/>
      <c r="M2227" s="137"/>
      <c r="N2227" s="137"/>
      <c r="O2227" s="137"/>
      <c r="P2227" s="137"/>
      <c r="Q2227" s="137"/>
      <c r="R2227" s="137"/>
      <c r="S2227" s="137"/>
      <c r="T2227" s="137"/>
      <c r="U2227" s="137"/>
      <c r="V2227" s="137"/>
      <c r="W2227" s="137"/>
    </row>
    <row r="2228" spans="1:23" x14ac:dyDescent="0.25">
      <c r="A2228" s="137"/>
      <c r="B2228" s="137"/>
      <c r="C2228" s="137"/>
      <c r="D2228" s="137"/>
      <c r="E2228" s="137"/>
      <c r="F2228" s="137"/>
      <c r="G2228" s="137"/>
      <c r="H2228" s="137"/>
      <c r="I2228" s="137"/>
      <c r="J2228" s="137"/>
      <c r="K2228" s="137"/>
      <c r="L2228" s="137"/>
      <c r="M2228" s="137"/>
      <c r="N2228" s="137"/>
      <c r="O2228" s="137"/>
      <c r="P2228" s="137"/>
      <c r="Q2228" s="137"/>
      <c r="R2228" s="137"/>
      <c r="S2228" s="137"/>
      <c r="T2228" s="137"/>
      <c r="U2228" s="137"/>
      <c r="V2228" s="137"/>
      <c r="W2228" s="137"/>
    </row>
    <row r="2229" spans="1:23" x14ac:dyDescent="0.25">
      <c r="A2229" s="137"/>
      <c r="B2229" s="137"/>
      <c r="C2229" s="137"/>
      <c r="D2229" s="137"/>
      <c r="E2229" s="137"/>
      <c r="F2229" s="137"/>
      <c r="G2229" s="137"/>
      <c r="H2229" s="137"/>
      <c r="I2229" s="137"/>
      <c r="J2229" s="137"/>
      <c r="K2229" s="137"/>
      <c r="L2229" s="137"/>
      <c r="M2229" s="137"/>
      <c r="N2229" s="137"/>
      <c r="O2229" s="137"/>
      <c r="P2229" s="137"/>
      <c r="Q2229" s="137"/>
      <c r="R2229" s="137"/>
      <c r="S2229" s="137"/>
      <c r="T2229" s="137"/>
      <c r="U2229" s="137"/>
      <c r="V2229" s="137"/>
      <c r="W2229" s="137"/>
    </row>
    <row r="2230" spans="1:23" x14ac:dyDescent="0.25">
      <c r="A2230" s="137"/>
      <c r="B2230" s="137"/>
      <c r="C2230" s="137"/>
      <c r="D2230" s="137"/>
      <c r="E2230" s="137"/>
      <c r="F2230" s="137"/>
      <c r="G2230" s="137"/>
      <c r="H2230" s="137"/>
      <c r="I2230" s="137"/>
      <c r="J2230" s="137"/>
      <c r="K2230" s="137"/>
      <c r="L2230" s="137"/>
      <c r="M2230" s="137"/>
      <c r="N2230" s="137"/>
      <c r="O2230" s="137"/>
      <c r="P2230" s="137"/>
      <c r="Q2230" s="137"/>
      <c r="R2230" s="137"/>
      <c r="S2230" s="137"/>
      <c r="T2230" s="137"/>
      <c r="U2230" s="137"/>
      <c r="V2230" s="137"/>
      <c r="W2230" s="137"/>
    </row>
    <row r="2231" spans="1:23" x14ac:dyDescent="0.25">
      <c r="A2231" s="137"/>
      <c r="B2231" s="137"/>
      <c r="C2231" s="137"/>
      <c r="D2231" s="137"/>
      <c r="E2231" s="137"/>
      <c r="F2231" s="137"/>
      <c r="G2231" s="137"/>
      <c r="H2231" s="137"/>
      <c r="I2231" s="137"/>
      <c r="J2231" s="137"/>
      <c r="K2231" s="137"/>
      <c r="L2231" s="137"/>
      <c r="M2231" s="137"/>
      <c r="N2231" s="137"/>
      <c r="O2231" s="137"/>
      <c r="P2231" s="137"/>
      <c r="Q2231" s="137"/>
      <c r="R2231" s="137"/>
      <c r="S2231" s="137"/>
      <c r="T2231" s="137"/>
      <c r="U2231" s="137"/>
      <c r="V2231" s="137"/>
      <c r="W2231" s="137"/>
    </row>
    <row r="2232" spans="1:23" x14ac:dyDescent="0.25">
      <c r="A2232" s="137"/>
      <c r="B2232" s="137"/>
      <c r="C2232" s="137"/>
      <c r="D2232" s="137"/>
      <c r="E2232" s="137"/>
      <c r="F2232" s="137"/>
      <c r="G2232" s="137"/>
      <c r="H2232" s="137"/>
      <c r="I2232" s="137"/>
      <c r="J2232" s="137"/>
      <c r="K2232" s="137"/>
      <c r="L2232" s="137"/>
      <c r="M2232" s="137"/>
      <c r="N2232" s="137"/>
      <c r="O2232" s="137"/>
      <c r="P2232" s="137"/>
      <c r="Q2232" s="137"/>
      <c r="R2232" s="137"/>
      <c r="S2232" s="137"/>
      <c r="T2232" s="137"/>
      <c r="U2232" s="137"/>
      <c r="V2232" s="137"/>
      <c r="W2232" s="137"/>
    </row>
    <row r="2233" spans="1:23" x14ac:dyDescent="0.25">
      <c r="A2233" s="137"/>
      <c r="B2233" s="137"/>
      <c r="C2233" s="137"/>
      <c r="D2233" s="137"/>
      <c r="E2233" s="137"/>
      <c r="F2233" s="137"/>
      <c r="G2233" s="137"/>
      <c r="H2233" s="137"/>
      <c r="I2233" s="137"/>
      <c r="J2233" s="137"/>
      <c r="K2233" s="137"/>
      <c r="L2233" s="137"/>
      <c r="M2233" s="137"/>
      <c r="N2233" s="137"/>
      <c r="O2233" s="137"/>
      <c r="P2233" s="137"/>
      <c r="Q2233" s="137"/>
      <c r="R2233" s="137"/>
      <c r="S2233" s="137"/>
      <c r="T2233" s="137"/>
      <c r="U2233" s="137"/>
      <c r="V2233" s="137"/>
      <c r="W2233" s="137"/>
    </row>
    <row r="2234" spans="1:23" x14ac:dyDescent="0.25">
      <c r="A2234" s="137"/>
      <c r="B2234" s="137"/>
      <c r="C2234" s="137"/>
      <c r="D2234" s="137"/>
      <c r="E2234" s="137"/>
      <c r="F2234" s="137"/>
      <c r="G2234" s="137"/>
      <c r="H2234" s="137"/>
      <c r="I2234" s="137"/>
      <c r="J2234" s="137"/>
      <c r="K2234" s="137"/>
      <c r="L2234" s="137"/>
      <c r="M2234" s="137"/>
      <c r="N2234" s="137"/>
      <c r="O2234" s="137"/>
      <c r="P2234" s="137"/>
      <c r="Q2234" s="137"/>
      <c r="R2234" s="137"/>
      <c r="S2234" s="137"/>
      <c r="T2234" s="137"/>
      <c r="U2234" s="137"/>
      <c r="V2234" s="137"/>
      <c r="W2234" s="137"/>
    </row>
    <row r="2235" spans="1:23" x14ac:dyDescent="0.25">
      <c r="A2235" s="137"/>
      <c r="B2235" s="137"/>
      <c r="C2235" s="137"/>
      <c r="D2235" s="137"/>
      <c r="E2235" s="137"/>
      <c r="F2235" s="137"/>
      <c r="G2235" s="137"/>
      <c r="H2235" s="137"/>
      <c r="I2235" s="137"/>
      <c r="J2235" s="137"/>
      <c r="K2235" s="137"/>
      <c r="L2235" s="137"/>
      <c r="M2235" s="137"/>
      <c r="N2235" s="137"/>
      <c r="O2235" s="137"/>
      <c r="P2235" s="137"/>
      <c r="Q2235" s="137"/>
      <c r="R2235" s="137"/>
      <c r="S2235" s="137"/>
      <c r="T2235" s="137"/>
      <c r="U2235" s="137"/>
      <c r="V2235" s="137"/>
      <c r="W2235" s="137"/>
    </row>
    <row r="2236" spans="1:23" x14ac:dyDescent="0.25">
      <c r="A2236" s="137"/>
      <c r="B2236" s="137"/>
      <c r="C2236" s="137"/>
      <c r="D2236" s="137"/>
      <c r="E2236" s="137"/>
      <c r="F2236" s="137"/>
      <c r="G2236" s="137"/>
      <c r="H2236" s="137"/>
      <c r="I2236" s="137"/>
      <c r="J2236" s="137"/>
      <c r="K2236" s="137"/>
      <c r="L2236" s="137"/>
      <c r="M2236" s="137"/>
      <c r="N2236" s="137"/>
      <c r="O2236" s="137"/>
      <c r="P2236" s="137"/>
      <c r="Q2236" s="137"/>
      <c r="R2236" s="137"/>
      <c r="S2236" s="137"/>
      <c r="T2236" s="137"/>
      <c r="U2236" s="137"/>
      <c r="V2236" s="137"/>
      <c r="W2236" s="137"/>
    </row>
    <row r="2237" spans="1:23" x14ac:dyDescent="0.25">
      <c r="A2237" s="137"/>
      <c r="B2237" s="137"/>
      <c r="C2237" s="137"/>
      <c r="D2237" s="137"/>
      <c r="E2237" s="137"/>
      <c r="F2237" s="137"/>
      <c r="G2237" s="137"/>
      <c r="H2237" s="137"/>
      <c r="I2237" s="137"/>
      <c r="J2237" s="137"/>
      <c r="K2237" s="137"/>
      <c r="L2237" s="137"/>
      <c r="M2237" s="137"/>
      <c r="N2237" s="137"/>
      <c r="O2237" s="137"/>
      <c r="P2237" s="137"/>
      <c r="Q2237" s="137"/>
      <c r="R2237" s="137"/>
      <c r="S2237" s="137"/>
      <c r="T2237" s="137"/>
      <c r="U2237" s="137"/>
      <c r="V2237" s="137"/>
      <c r="W2237" s="137"/>
    </row>
    <row r="2238" spans="1:23" x14ac:dyDescent="0.25">
      <c r="A2238" s="137"/>
      <c r="B2238" s="137"/>
      <c r="C2238" s="137"/>
      <c r="D2238" s="137"/>
      <c r="E2238" s="137"/>
      <c r="F2238" s="137"/>
      <c r="G2238" s="137"/>
      <c r="H2238" s="137"/>
      <c r="I2238" s="137"/>
      <c r="J2238" s="137"/>
      <c r="K2238" s="137"/>
      <c r="L2238" s="137"/>
      <c r="M2238" s="137"/>
      <c r="N2238" s="137"/>
      <c r="O2238" s="137"/>
      <c r="P2238" s="137"/>
      <c r="Q2238" s="137"/>
      <c r="R2238" s="137"/>
      <c r="S2238" s="137"/>
      <c r="T2238" s="137"/>
      <c r="U2238" s="137"/>
      <c r="V2238" s="137"/>
      <c r="W2238" s="137"/>
    </row>
    <row r="2239" spans="1:23" x14ac:dyDescent="0.25">
      <c r="A2239" s="137"/>
      <c r="B2239" s="137"/>
      <c r="C2239" s="137"/>
      <c r="D2239" s="137"/>
      <c r="E2239" s="137"/>
      <c r="F2239" s="137"/>
      <c r="G2239" s="137"/>
      <c r="H2239" s="137"/>
      <c r="I2239" s="137"/>
      <c r="J2239" s="137"/>
      <c r="K2239" s="137"/>
      <c r="L2239" s="137"/>
      <c r="M2239" s="137"/>
      <c r="N2239" s="137"/>
      <c r="O2239" s="137"/>
      <c r="P2239" s="137"/>
      <c r="Q2239" s="137"/>
      <c r="R2239" s="137"/>
      <c r="S2239" s="137"/>
      <c r="T2239" s="137"/>
      <c r="U2239" s="137"/>
      <c r="V2239" s="137"/>
      <c r="W2239" s="137"/>
    </row>
    <row r="2240" spans="1:23" x14ac:dyDescent="0.25">
      <c r="A2240" s="137"/>
      <c r="B2240" s="137"/>
      <c r="C2240" s="137"/>
      <c r="D2240" s="137"/>
      <c r="E2240" s="137"/>
      <c r="F2240" s="137"/>
      <c r="G2240" s="137"/>
      <c r="H2240" s="137"/>
      <c r="I2240" s="137"/>
      <c r="J2240" s="137"/>
      <c r="K2240" s="137"/>
      <c r="L2240" s="137"/>
      <c r="M2240" s="137"/>
      <c r="N2240" s="137"/>
      <c r="O2240" s="137"/>
      <c r="P2240" s="137"/>
      <c r="Q2240" s="137"/>
      <c r="R2240" s="137"/>
      <c r="S2240" s="137"/>
      <c r="T2240" s="137"/>
      <c r="U2240" s="137"/>
      <c r="V2240" s="137"/>
      <c r="W2240" s="137"/>
    </row>
    <row r="2241" spans="1:23" x14ac:dyDescent="0.25">
      <c r="A2241" s="137"/>
      <c r="B2241" s="137"/>
      <c r="C2241" s="137"/>
      <c r="D2241" s="137"/>
      <c r="E2241" s="137"/>
      <c r="F2241" s="137"/>
      <c r="G2241" s="137"/>
      <c r="H2241" s="137"/>
      <c r="I2241" s="137"/>
      <c r="J2241" s="137"/>
      <c r="K2241" s="137"/>
      <c r="L2241" s="137"/>
      <c r="M2241" s="137"/>
      <c r="N2241" s="137"/>
      <c r="O2241" s="137"/>
      <c r="P2241" s="137"/>
      <c r="Q2241" s="137"/>
      <c r="R2241" s="137"/>
      <c r="S2241" s="137"/>
      <c r="T2241" s="137"/>
      <c r="U2241" s="137"/>
      <c r="V2241" s="137"/>
      <c r="W2241" s="137"/>
    </row>
    <row r="2242" spans="1:23" x14ac:dyDescent="0.25">
      <c r="A2242" s="137"/>
      <c r="B2242" s="137"/>
      <c r="C2242" s="137"/>
      <c r="D2242" s="137"/>
      <c r="E2242" s="137"/>
      <c r="F2242" s="137"/>
      <c r="G2242" s="137"/>
      <c r="H2242" s="137"/>
      <c r="I2242" s="137"/>
      <c r="J2242" s="137"/>
      <c r="K2242" s="137"/>
      <c r="L2242" s="137"/>
      <c r="M2242" s="137"/>
      <c r="N2242" s="137"/>
      <c r="O2242" s="137"/>
      <c r="P2242" s="137"/>
      <c r="Q2242" s="137"/>
      <c r="R2242" s="137"/>
      <c r="S2242" s="137"/>
      <c r="T2242" s="137"/>
      <c r="U2242" s="137"/>
      <c r="V2242" s="137"/>
      <c r="W2242" s="137"/>
    </row>
    <row r="2243" spans="1:23" x14ac:dyDescent="0.25">
      <c r="A2243" s="137"/>
      <c r="B2243" s="137"/>
      <c r="C2243" s="137"/>
      <c r="D2243" s="137"/>
      <c r="E2243" s="137"/>
      <c r="F2243" s="137"/>
      <c r="G2243" s="137"/>
      <c r="H2243" s="137"/>
      <c r="I2243" s="137"/>
      <c r="J2243" s="137"/>
      <c r="K2243" s="137"/>
      <c r="L2243" s="137"/>
      <c r="M2243" s="137"/>
      <c r="N2243" s="137"/>
      <c r="O2243" s="137"/>
      <c r="P2243" s="137"/>
      <c r="Q2243" s="137"/>
      <c r="R2243" s="137"/>
      <c r="S2243" s="137"/>
      <c r="T2243" s="137"/>
      <c r="U2243" s="137"/>
      <c r="V2243" s="137"/>
      <c r="W2243" s="137"/>
    </row>
    <row r="2244" spans="1:23" x14ac:dyDescent="0.25">
      <c r="A2244" s="137"/>
      <c r="B2244" s="137"/>
      <c r="C2244" s="137"/>
      <c r="D2244" s="137"/>
      <c r="E2244" s="137"/>
      <c r="F2244" s="137"/>
      <c r="G2244" s="137"/>
      <c r="H2244" s="137"/>
      <c r="I2244" s="137"/>
      <c r="J2244" s="137"/>
      <c r="K2244" s="137"/>
      <c r="L2244" s="137"/>
      <c r="M2244" s="137"/>
      <c r="N2244" s="137"/>
      <c r="O2244" s="137"/>
      <c r="P2244" s="137"/>
      <c r="Q2244" s="137"/>
      <c r="R2244" s="137"/>
      <c r="S2244" s="137"/>
      <c r="T2244" s="137"/>
      <c r="U2244" s="137"/>
      <c r="V2244" s="137"/>
      <c r="W2244" s="137"/>
    </row>
    <row r="2245" spans="1:23" x14ac:dyDescent="0.25">
      <c r="A2245" s="137"/>
      <c r="B2245" s="137"/>
      <c r="C2245" s="137"/>
      <c r="D2245" s="137"/>
      <c r="E2245" s="137"/>
      <c r="F2245" s="137"/>
      <c r="G2245" s="137"/>
      <c r="H2245" s="137"/>
      <c r="I2245" s="137"/>
      <c r="J2245" s="137"/>
      <c r="K2245" s="137"/>
      <c r="L2245" s="137"/>
      <c r="M2245" s="137"/>
      <c r="N2245" s="137"/>
      <c r="O2245" s="137"/>
      <c r="P2245" s="137"/>
      <c r="Q2245" s="137"/>
      <c r="R2245" s="137"/>
      <c r="S2245" s="137"/>
      <c r="T2245" s="137"/>
      <c r="U2245" s="137"/>
      <c r="V2245" s="137"/>
      <c r="W2245" s="137"/>
    </row>
    <row r="2246" spans="1:23" x14ac:dyDescent="0.25">
      <c r="A2246" s="137"/>
      <c r="B2246" s="137"/>
      <c r="C2246" s="137"/>
      <c r="D2246" s="137"/>
      <c r="E2246" s="137"/>
      <c r="F2246" s="137"/>
      <c r="G2246" s="137"/>
      <c r="H2246" s="137"/>
      <c r="I2246" s="137"/>
      <c r="J2246" s="137"/>
      <c r="K2246" s="137"/>
      <c r="L2246" s="137"/>
      <c r="M2246" s="137"/>
      <c r="N2246" s="137"/>
      <c r="O2246" s="137"/>
      <c r="P2246" s="137"/>
      <c r="Q2246" s="137"/>
      <c r="R2246" s="137"/>
      <c r="S2246" s="137"/>
      <c r="T2246" s="137"/>
      <c r="U2246" s="137"/>
      <c r="V2246" s="137"/>
      <c r="W2246" s="137"/>
    </row>
    <row r="2247" spans="1:23" x14ac:dyDescent="0.25">
      <c r="A2247" s="137"/>
      <c r="B2247" s="137"/>
      <c r="C2247" s="137"/>
      <c r="D2247" s="137"/>
      <c r="E2247" s="137"/>
      <c r="F2247" s="137"/>
      <c r="G2247" s="137"/>
      <c r="H2247" s="137"/>
      <c r="I2247" s="137"/>
      <c r="J2247" s="137"/>
      <c r="K2247" s="137"/>
      <c r="L2247" s="137"/>
      <c r="M2247" s="137"/>
      <c r="N2247" s="137"/>
      <c r="O2247" s="137"/>
      <c r="P2247" s="137"/>
      <c r="Q2247" s="137"/>
      <c r="R2247" s="137"/>
      <c r="S2247" s="137"/>
      <c r="T2247" s="137"/>
      <c r="U2247" s="137"/>
      <c r="V2247" s="137"/>
      <c r="W2247" s="137"/>
    </row>
    <row r="2248" spans="1:23" x14ac:dyDescent="0.25">
      <c r="A2248" s="137"/>
      <c r="B2248" s="137"/>
      <c r="C2248" s="137"/>
      <c r="D2248" s="137"/>
      <c r="E2248" s="137"/>
      <c r="F2248" s="137"/>
      <c r="G2248" s="137"/>
      <c r="H2248" s="137"/>
      <c r="I2248" s="137"/>
      <c r="J2248" s="137"/>
      <c r="K2248" s="137"/>
      <c r="L2248" s="137"/>
      <c r="M2248" s="137"/>
      <c r="N2248" s="137"/>
      <c r="O2248" s="137"/>
      <c r="P2248" s="137"/>
      <c r="Q2248" s="137"/>
      <c r="R2248" s="137"/>
      <c r="S2248" s="137"/>
      <c r="T2248" s="137"/>
      <c r="U2248" s="137"/>
      <c r="V2248" s="137"/>
      <c r="W2248" s="137"/>
    </row>
    <row r="2249" spans="1:23" x14ac:dyDescent="0.25">
      <c r="A2249" s="137"/>
      <c r="B2249" s="137"/>
      <c r="C2249" s="137"/>
      <c r="D2249" s="137"/>
      <c r="E2249" s="137"/>
      <c r="F2249" s="137"/>
      <c r="G2249" s="137"/>
      <c r="H2249" s="137"/>
      <c r="I2249" s="137"/>
      <c r="J2249" s="137"/>
      <c r="K2249" s="137"/>
      <c r="L2249" s="137"/>
      <c r="M2249" s="137"/>
      <c r="N2249" s="137"/>
      <c r="O2249" s="137"/>
      <c r="P2249" s="137"/>
      <c r="Q2249" s="137"/>
      <c r="R2249" s="137"/>
      <c r="S2249" s="137"/>
      <c r="T2249" s="137"/>
      <c r="U2249" s="137"/>
      <c r="V2249" s="137"/>
      <c r="W2249" s="137"/>
    </row>
    <row r="2250" spans="1:23" x14ac:dyDescent="0.25">
      <c r="A2250" s="137"/>
      <c r="B2250" s="137"/>
      <c r="C2250" s="137"/>
      <c r="D2250" s="137"/>
      <c r="E2250" s="137"/>
      <c r="F2250" s="137"/>
      <c r="G2250" s="137"/>
      <c r="H2250" s="137"/>
      <c r="I2250" s="137"/>
      <c r="J2250" s="137"/>
      <c r="K2250" s="137"/>
      <c r="L2250" s="137"/>
      <c r="M2250" s="137"/>
      <c r="N2250" s="137"/>
      <c r="O2250" s="137"/>
      <c r="P2250" s="137"/>
      <c r="Q2250" s="137"/>
      <c r="R2250" s="137"/>
      <c r="S2250" s="137"/>
      <c r="T2250" s="137"/>
      <c r="U2250" s="137"/>
      <c r="V2250" s="137"/>
      <c r="W2250" s="137"/>
    </row>
    <row r="2251" spans="1:23" x14ac:dyDescent="0.25">
      <c r="A2251" s="137"/>
      <c r="B2251" s="137"/>
      <c r="C2251" s="137"/>
      <c r="D2251" s="137"/>
      <c r="E2251" s="137"/>
      <c r="F2251" s="137"/>
      <c r="G2251" s="137"/>
      <c r="H2251" s="137"/>
      <c r="I2251" s="137"/>
      <c r="J2251" s="137"/>
      <c r="K2251" s="137"/>
      <c r="L2251" s="137"/>
      <c r="M2251" s="137"/>
      <c r="N2251" s="137"/>
      <c r="O2251" s="137"/>
      <c r="P2251" s="137"/>
      <c r="Q2251" s="137"/>
      <c r="R2251" s="137"/>
      <c r="S2251" s="137"/>
      <c r="T2251" s="137"/>
      <c r="U2251" s="137"/>
      <c r="V2251" s="137"/>
      <c r="W2251" s="137"/>
    </row>
    <row r="2252" spans="1:23" x14ac:dyDescent="0.25">
      <c r="A2252" s="137"/>
      <c r="B2252" s="137"/>
      <c r="C2252" s="137"/>
      <c r="D2252" s="137"/>
      <c r="E2252" s="137"/>
      <c r="F2252" s="137"/>
      <c r="G2252" s="137"/>
      <c r="H2252" s="137"/>
      <c r="I2252" s="137"/>
      <c r="J2252" s="137"/>
      <c r="K2252" s="137"/>
      <c r="L2252" s="137"/>
      <c r="M2252" s="137"/>
      <c r="N2252" s="137"/>
      <c r="O2252" s="137"/>
      <c r="P2252" s="137"/>
      <c r="Q2252" s="137"/>
      <c r="R2252" s="137"/>
      <c r="S2252" s="137"/>
      <c r="T2252" s="137"/>
      <c r="U2252" s="137"/>
      <c r="V2252" s="137"/>
      <c r="W2252" s="137"/>
    </row>
    <row r="2253" spans="1:23" x14ac:dyDescent="0.25">
      <c r="A2253" s="137"/>
      <c r="B2253" s="137"/>
      <c r="C2253" s="137"/>
      <c r="D2253" s="137"/>
      <c r="E2253" s="137"/>
      <c r="F2253" s="137"/>
      <c r="G2253" s="137"/>
      <c r="H2253" s="137"/>
      <c r="I2253" s="137"/>
      <c r="J2253" s="137"/>
      <c r="K2253" s="137"/>
      <c r="L2253" s="137"/>
      <c r="M2253" s="137"/>
      <c r="N2253" s="137"/>
      <c r="O2253" s="137"/>
      <c r="P2253" s="137"/>
      <c r="Q2253" s="137"/>
      <c r="R2253" s="137"/>
      <c r="S2253" s="137"/>
      <c r="T2253" s="137"/>
      <c r="U2253" s="137"/>
      <c r="V2253" s="137"/>
      <c r="W2253" s="137"/>
    </row>
    <row r="2254" spans="1:23" x14ac:dyDescent="0.25">
      <c r="A2254" s="137"/>
      <c r="B2254" s="137"/>
      <c r="C2254" s="137"/>
      <c r="D2254" s="137"/>
      <c r="E2254" s="137"/>
      <c r="F2254" s="137"/>
      <c r="G2254" s="137"/>
      <c r="H2254" s="137"/>
      <c r="I2254" s="137"/>
      <c r="J2254" s="137"/>
      <c r="K2254" s="137"/>
      <c r="L2254" s="137"/>
      <c r="M2254" s="137"/>
      <c r="N2254" s="137"/>
      <c r="O2254" s="137"/>
      <c r="P2254" s="137"/>
      <c r="Q2254" s="137"/>
      <c r="R2254" s="137"/>
      <c r="S2254" s="137"/>
      <c r="T2254" s="137"/>
      <c r="U2254" s="137"/>
      <c r="V2254" s="137"/>
      <c r="W2254" s="137"/>
    </row>
    <row r="2255" spans="1:23" x14ac:dyDescent="0.25">
      <c r="A2255" s="137"/>
      <c r="B2255" s="137"/>
      <c r="C2255" s="137"/>
      <c r="D2255" s="137"/>
      <c r="E2255" s="137"/>
      <c r="F2255" s="137"/>
      <c r="G2255" s="137"/>
      <c r="H2255" s="137"/>
      <c r="I2255" s="137"/>
      <c r="J2255" s="137"/>
      <c r="K2255" s="137"/>
      <c r="L2255" s="137"/>
      <c r="M2255" s="137"/>
      <c r="N2255" s="137"/>
      <c r="O2255" s="137"/>
      <c r="P2255" s="137"/>
      <c r="Q2255" s="137"/>
      <c r="R2255" s="137"/>
      <c r="S2255" s="137"/>
      <c r="T2255" s="137"/>
      <c r="U2255" s="137"/>
      <c r="V2255" s="137"/>
      <c r="W2255" s="137"/>
    </row>
    <row r="2256" spans="1:23" x14ac:dyDescent="0.25">
      <c r="A2256" s="137"/>
      <c r="B2256" s="137"/>
      <c r="C2256" s="137"/>
      <c r="D2256" s="137"/>
      <c r="E2256" s="137"/>
      <c r="F2256" s="137"/>
      <c r="G2256" s="137"/>
      <c r="H2256" s="137"/>
      <c r="I2256" s="137"/>
      <c r="J2256" s="137"/>
      <c r="K2256" s="137"/>
      <c r="L2256" s="137"/>
      <c r="M2256" s="137"/>
      <c r="N2256" s="137"/>
      <c r="O2256" s="137"/>
      <c r="P2256" s="137"/>
      <c r="Q2256" s="137"/>
      <c r="R2256" s="137"/>
      <c r="S2256" s="137"/>
      <c r="T2256" s="137"/>
      <c r="U2256" s="137"/>
      <c r="V2256" s="137"/>
      <c r="W2256" s="137"/>
    </row>
    <row r="2257" spans="1:23" x14ac:dyDescent="0.25">
      <c r="A2257" s="137"/>
      <c r="B2257" s="137"/>
      <c r="C2257" s="137"/>
      <c r="D2257" s="137"/>
      <c r="E2257" s="137"/>
      <c r="F2257" s="137"/>
      <c r="G2257" s="137"/>
      <c r="H2257" s="137"/>
      <c r="I2257" s="137"/>
      <c r="J2257" s="137"/>
      <c r="K2257" s="137"/>
      <c r="L2257" s="137"/>
      <c r="M2257" s="137"/>
      <c r="N2257" s="137"/>
      <c r="O2257" s="137"/>
      <c r="P2257" s="137"/>
      <c r="Q2257" s="137"/>
      <c r="R2257" s="137"/>
      <c r="S2257" s="137"/>
      <c r="T2257" s="137"/>
      <c r="U2257" s="137"/>
      <c r="V2257" s="137"/>
      <c r="W2257" s="137"/>
    </row>
    <row r="2258" spans="1:23" x14ac:dyDescent="0.25">
      <c r="A2258" s="137"/>
      <c r="B2258" s="137"/>
      <c r="C2258" s="137"/>
      <c r="D2258" s="137"/>
      <c r="E2258" s="137"/>
      <c r="F2258" s="137"/>
      <c r="G2258" s="137"/>
      <c r="H2258" s="137"/>
      <c r="I2258" s="137"/>
      <c r="J2258" s="137"/>
      <c r="K2258" s="137"/>
      <c r="L2258" s="137"/>
      <c r="M2258" s="137"/>
      <c r="N2258" s="137"/>
      <c r="O2258" s="137"/>
      <c r="P2258" s="137"/>
      <c r="Q2258" s="137"/>
      <c r="R2258" s="137"/>
      <c r="S2258" s="137"/>
      <c r="T2258" s="137"/>
      <c r="U2258" s="137"/>
      <c r="V2258" s="137"/>
      <c r="W2258" s="137"/>
    </row>
    <row r="2259" spans="1:23" x14ac:dyDescent="0.25">
      <c r="A2259" s="137"/>
      <c r="B2259" s="137"/>
      <c r="C2259" s="137"/>
      <c r="D2259" s="137"/>
      <c r="E2259" s="137"/>
      <c r="F2259" s="137"/>
      <c r="G2259" s="137"/>
      <c r="H2259" s="137"/>
      <c r="I2259" s="137"/>
      <c r="J2259" s="137"/>
      <c r="K2259" s="137"/>
      <c r="L2259" s="137"/>
      <c r="M2259" s="137"/>
      <c r="N2259" s="137"/>
      <c r="O2259" s="137"/>
      <c r="P2259" s="137"/>
      <c r="Q2259" s="137"/>
      <c r="R2259" s="137"/>
      <c r="S2259" s="137"/>
      <c r="T2259" s="137"/>
      <c r="U2259" s="137"/>
      <c r="V2259" s="137"/>
      <c r="W2259" s="137"/>
    </row>
    <row r="2260" spans="1:23" x14ac:dyDescent="0.25">
      <c r="A2260" s="137"/>
      <c r="B2260" s="137"/>
      <c r="C2260" s="137"/>
      <c r="D2260" s="137"/>
      <c r="E2260" s="137"/>
      <c r="F2260" s="137"/>
      <c r="G2260" s="137"/>
      <c r="H2260" s="137"/>
      <c r="I2260" s="137"/>
      <c r="J2260" s="137"/>
      <c r="K2260" s="137"/>
      <c r="L2260" s="137"/>
      <c r="M2260" s="137"/>
      <c r="N2260" s="137"/>
      <c r="O2260" s="137"/>
      <c r="P2260" s="137"/>
      <c r="Q2260" s="137"/>
      <c r="R2260" s="137"/>
      <c r="S2260" s="137"/>
      <c r="T2260" s="137"/>
      <c r="U2260" s="137"/>
      <c r="V2260" s="137"/>
      <c r="W2260" s="137"/>
    </row>
    <row r="2261" spans="1:23" x14ac:dyDescent="0.25">
      <c r="A2261" s="137"/>
      <c r="B2261" s="137"/>
      <c r="C2261" s="137"/>
      <c r="D2261" s="137"/>
      <c r="E2261" s="137"/>
      <c r="F2261" s="137"/>
      <c r="G2261" s="137"/>
      <c r="H2261" s="137"/>
      <c r="I2261" s="137"/>
      <c r="J2261" s="137"/>
      <c r="K2261" s="137"/>
      <c r="L2261" s="137"/>
      <c r="M2261" s="137"/>
      <c r="N2261" s="137"/>
      <c r="O2261" s="137"/>
      <c r="P2261" s="137"/>
      <c r="Q2261" s="137"/>
      <c r="R2261" s="137"/>
      <c r="S2261" s="137"/>
      <c r="T2261" s="137"/>
      <c r="U2261" s="137"/>
      <c r="V2261" s="137"/>
      <c r="W2261" s="137"/>
    </row>
    <row r="2262" spans="1:23" x14ac:dyDescent="0.25">
      <c r="A2262" s="137"/>
      <c r="B2262" s="137"/>
      <c r="C2262" s="137"/>
      <c r="D2262" s="137"/>
      <c r="E2262" s="137"/>
      <c r="F2262" s="137"/>
      <c r="G2262" s="137"/>
      <c r="H2262" s="137"/>
      <c r="I2262" s="137"/>
      <c r="J2262" s="137"/>
      <c r="K2262" s="137"/>
      <c r="L2262" s="137"/>
      <c r="M2262" s="137"/>
      <c r="N2262" s="137"/>
      <c r="O2262" s="137"/>
      <c r="P2262" s="137"/>
      <c r="Q2262" s="137"/>
      <c r="R2262" s="137"/>
      <c r="S2262" s="137"/>
      <c r="T2262" s="137"/>
      <c r="U2262" s="137"/>
      <c r="V2262" s="137"/>
      <c r="W2262" s="137"/>
    </row>
    <row r="2263" spans="1:23" x14ac:dyDescent="0.25">
      <c r="A2263" s="137"/>
      <c r="B2263" s="137"/>
      <c r="C2263" s="137"/>
      <c r="D2263" s="137"/>
      <c r="E2263" s="137"/>
      <c r="F2263" s="137"/>
      <c r="G2263" s="137"/>
      <c r="H2263" s="137"/>
      <c r="I2263" s="137"/>
      <c r="J2263" s="137"/>
      <c r="K2263" s="137"/>
      <c r="L2263" s="137"/>
      <c r="M2263" s="137"/>
      <c r="N2263" s="137"/>
      <c r="O2263" s="137"/>
      <c r="P2263" s="137"/>
      <c r="Q2263" s="137"/>
      <c r="R2263" s="137"/>
      <c r="S2263" s="137"/>
      <c r="T2263" s="137"/>
      <c r="U2263" s="137"/>
      <c r="V2263" s="137"/>
      <c r="W2263" s="137"/>
    </row>
    <row r="2264" spans="1:23" x14ac:dyDescent="0.25">
      <c r="A2264" s="137"/>
      <c r="B2264" s="137"/>
      <c r="C2264" s="137"/>
      <c r="D2264" s="137"/>
      <c r="E2264" s="137"/>
      <c r="F2264" s="137"/>
      <c r="G2264" s="137"/>
      <c r="H2264" s="137"/>
      <c r="I2264" s="137"/>
      <c r="J2264" s="137"/>
      <c r="K2264" s="137"/>
      <c r="L2264" s="137"/>
      <c r="M2264" s="137"/>
      <c r="N2264" s="137"/>
      <c r="O2264" s="137"/>
      <c r="P2264" s="137"/>
      <c r="Q2264" s="137"/>
      <c r="R2264" s="137"/>
      <c r="S2264" s="137"/>
      <c r="T2264" s="137"/>
      <c r="U2264" s="137"/>
      <c r="V2264" s="137"/>
      <c r="W2264" s="137"/>
    </row>
    <row r="2265" spans="1:23" x14ac:dyDescent="0.25">
      <c r="A2265" s="137"/>
      <c r="B2265" s="137"/>
      <c r="C2265" s="137"/>
      <c r="D2265" s="137"/>
      <c r="E2265" s="137"/>
      <c r="F2265" s="137"/>
      <c r="G2265" s="137"/>
      <c r="H2265" s="137"/>
      <c r="I2265" s="137"/>
      <c r="J2265" s="137"/>
      <c r="K2265" s="137"/>
      <c r="L2265" s="137"/>
      <c r="M2265" s="137"/>
      <c r="N2265" s="137"/>
      <c r="O2265" s="137"/>
      <c r="P2265" s="137"/>
      <c r="Q2265" s="137"/>
      <c r="R2265" s="137"/>
      <c r="S2265" s="137"/>
      <c r="T2265" s="137"/>
      <c r="U2265" s="137"/>
      <c r="V2265" s="137"/>
      <c r="W2265" s="137"/>
    </row>
    <row r="2266" spans="1:23" x14ac:dyDescent="0.25">
      <c r="A2266" s="137"/>
      <c r="B2266" s="137"/>
      <c r="C2266" s="137"/>
      <c r="D2266" s="137"/>
      <c r="E2266" s="137"/>
      <c r="F2266" s="137"/>
      <c r="G2266" s="137"/>
      <c r="H2266" s="137"/>
      <c r="I2266" s="137"/>
      <c r="J2266" s="137"/>
      <c r="K2266" s="137"/>
      <c r="L2266" s="137"/>
      <c r="M2266" s="137"/>
      <c r="N2266" s="137"/>
      <c r="O2266" s="137"/>
      <c r="P2266" s="137"/>
      <c r="Q2266" s="137"/>
      <c r="R2266" s="137"/>
      <c r="S2266" s="137"/>
      <c r="T2266" s="137"/>
      <c r="U2266" s="137"/>
      <c r="V2266" s="137"/>
      <c r="W2266" s="137"/>
    </row>
    <row r="2267" spans="1:23" x14ac:dyDescent="0.25">
      <c r="A2267" s="137"/>
      <c r="B2267" s="137"/>
      <c r="C2267" s="137"/>
      <c r="D2267" s="137"/>
      <c r="E2267" s="137"/>
      <c r="F2267" s="137"/>
      <c r="G2267" s="137"/>
      <c r="H2267" s="137"/>
      <c r="I2267" s="137"/>
      <c r="J2267" s="137"/>
      <c r="K2267" s="137"/>
      <c r="L2267" s="137"/>
      <c r="M2267" s="137"/>
      <c r="N2267" s="137"/>
      <c r="O2267" s="137"/>
      <c r="P2267" s="137"/>
      <c r="Q2267" s="137"/>
      <c r="R2267" s="137"/>
      <c r="S2267" s="137"/>
      <c r="T2267" s="137"/>
      <c r="U2267" s="137"/>
      <c r="V2267" s="137"/>
      <c r="W2267" s="137"/>
    </row>
    <row r="2268" spans="1:23" x14ac:dyDescent="0.25">
      <c r="A2268" s="137"/>
      <c r="B2268" s="137"/>
      <c r="C2268" s="137"/>
      <c r="D2268" s="137"/>
      <c r="E2268" s="137"/>
      <c r="F2268" s="137"/>
      <c r="G2268" s="137"/>
      <c r="H2268" s="137"/>
      <c r="I2268" s="137"/>
      <c r="J2268" s="137"/>
      <c r="K2268" s="137"/>
      <c r="L2268" s="137"/>
      <c r="M2268" s="137"/>
      <c r="N2268" s="137"/>
      <c r="O2268" s="137"/>
      <c r="P2268" s="137"/>
      <c r="Q2268" s="137"/>
      <c r="R2268" s="137"/>
      <c r="S2268" s="137"/>
      <c r="T2268" s="137"/>
      <c r="U2268" s="137"/>
      <c r="V2268" s="137"/>
      <c r="W2268" s="137"/>
    </row>
    <row r="2269" spans="1:23" x14ac:dyDescent="0.25">
      <c r="A2269" s="137"/>
      <c r="B2269" s="137"/>
      <c r="C2269" s="137"/>
      <c r="D2269" s="137"/>
      <c r="E2269" s="137"/>
      <c r="F2269" s="137"/>
      <c r="G2269" s="137"/>
      <c r="H2269" s="137"/>
      <c r="I2269" s="137"/>
      <c r="J2269" s="137"/>
      <c r="K2269" s="137"/>
      <c r="L2269" s="137"/>
      <c r="M2269" s="137"/>
      <c r="N2269" s="137"/>
      <c r="O2269" s="137"/>
      <c r="P2269" s="137"/>
      <c r="Q2269" s="137"/>
      <c r="R2269" s="137"/>
      <c r="S2269" s="137"/>
      <c r="T2269" s="137"/>
      <c r="U2269" s="137"/>
      <c r="V2269" s="137"/>
      <c r="W2269" s="137"/>
    </row>
    <row r="2270" spans="1:23" x14ac:dyDescent="0.25">
      <c r="A2270" s="137"/>
      <c r="B2270" s="137"/>
      <c r="C2270" s="137"/>
      <c r="D2270" s="137"/>
      <c r="E2270" s="137"/>
      <c r="F2270" s="137"/>
      <c r="G2270" s="137"/>
      <c r="H2270" s="137"/>
      <c r="I2270" s="137"/>
      <c r="J2270" s="137"/>
      <c r="K2270" s="137"/>
      <c r="L2270" s="137"/>
      <c r="M2270" s="137"/>
      <c r="N2270" s="137"/>
      <c r="O2270" s="137"/>
      <c r="P2270" s="137"/>
      <c r="Q2270" s="137"/>
      <c r="R2270" s="137"/>
      <c r="S2270" s="137"/>
      <c r="T2270" s="137"/>
      <c r="U2270" s="137"/>
      <c r="V2270" s="137"/>
      <c r="W2270" s="137"/>
    </row>
    <row r="2271" spans="1:23" x14ac:dyDescent="0.25">
      <c r="A2271" s="137"/>
      <c r="B2271" s="137"/>
      <c r="C2271" s="137"/>
      <c r="D2271" s="137"/>
      <c r="E2271" s="137"/>
      <c r="F2271" s="137"/>
      <c r="G2271" s="137"/>
      <c r="H2271" s="137"/>
      <c r="I2271" s="137"/>
      <c r="J2271" s="137"/>
      <c r="K2271" s="137"/>
      <c r="L2271" s="137"/>
      <c r="M2271" s="137"/>
      <c r="N2271" s="137"/>
      <c r="O2271" s="137"/>
      <c r="P2271" s="137"/>
      <c r="Q2271" s="137"/>
      <c r="R2271" s="137"/>
      <c r="S2271" s="137"/>
      <c r="T2271" s="137"/>
      <c r="U2271" s="137"/>
      <c r="V2271" s="137"/>
      <c r="W2271" s="137"/>
    </row>
    <row r="2272" spans="1:23" x14ac:dyDescent="0.25">
      <c r="A2272" s="137"/>
      <c r="B2272" s="137"/>
      <c r="C2272" s="137"/>
      <c r="D2272" s="137"/>
      <c r="E2272" s="137"/>
      <c r="F2272" s="137"/>
      <c r="G2272" s="137"/>
      <c r="H2272" s="137"/>
      <c r="I2272" s="137"/>
      <c r="J2272" s="137"/>
      <c r="K2272" s="137"/>
      <c r="L2272" s="137"/>
      <c r="M2272" s="137"/>
      <c r="N2272" s="137"/>
      <c r="O2272" s="137"/>
      <c r="P2272" s="137"/>
      <c r="Q2272" s="137"/>
      <c r="R2272" s="137"/>
      <c r="S2272" s="137"/>
      <c r="T2272" s="137"/>
      <c r="U2272" s="137"/>
      <c r="V2272" s="137"/>
      <c r="W2272" s="137"/>
    </row>
    <row r="2273" spans="1:23" x14ac:dyDescent="0.25">
      <c r="A2273" s="137"/>
      <c r="B2273" s="137"/>
      <c r="C2273" s="137"/>
      <c r="D2273" s="137"/>
      <c r="E2273" s="137"/>
      <c r="F2273" s="137"/>
      <c r="G2273" s="137"/>
      <c r="H2273" s="137"/>
      <c r="I2273" s="137"/>
      <c r="J2273" s="137"/>
      <c r="K2273" s="137"/>
      <c r="L2273" s="137"/>
      <c r="M2273" s="137"/>
      <c r="N2273" s="137"/>
      <c r="O2273" s="137"/>
      <c r="P2273" s="137"/>
      <c r="Q2273" s="137"/>
      <c r="R2273" s="137"/>
      <c r="S2273" s="137"/>
      <c r="T2273" s="137"/>
      <c r="U2273" s="137"/>
      <c r="V2273" s="137"/>
      <c r="W2273" s="137"/>
    </row>
    <row r="2274" spans="1:23" x14ac:dyDescent="0.25">
      <c r="A2274" s="137"/>
      <c r="B2274" s="137"/>
      <c r="C2274" s="137"/>
      <c r="D2274" s="137"/>
      <c r="E2274" s="137"/>
      <c r="F2274" s="137"/>
      <c r="G2274" s="137"/>
      <c r="H2274" s="137"/>
      <c r="I2274" s="137"/>
      <c r="J2274" s="137"/>
      <c r="K2274" s="137"/>
      <c r="L2274" s="137"/>
      <c r="M2274" s="137"/>
      <c r="N2274" s="137"/>
      <c r="O2274" s="137"/>
      <c r="P2274" s="137"/>
      <c r="Q2274" s="137"/>
      <c r="R2274" s="137"/>
      <c r="S2274" s="137"/>
      <c r="T2274" s="137"/>
      <c r="U2274" s="137"/>
      <c r="V2274" s="137"/>
      <c r="W2274" s="137"/>
    </row>
    <row r="2275" spans="1:23" x14ac:dyDescent="0.25">
      <c r="A2275" s="137"/>
      <c r="B2275" s="137"/>
      <c r="C2275" s="137"/>
      <c r="D2275" s="137"/>
      <c r="E2275" s="137"/>
      <c r="F2275" s="137"/>
      <c r="G2275" s="137"/>
      <c r="H2275" s="137"/>
      <c r="I2275" s="137"/>
      <c r="J2275" s="137"/>
      <c r="K2275" s="137"/>
      <c r="L2275" s="137"/>
      <c r="M2275" s="137"/>
      <c r="N2275" s="137"/>
      <c r="O2275" s="137"/>
      <c r="P2275" s="137"/>
      <c r="Q2275" s="137"/>
      <c r="R2275" s="137"/>
      <c r="S2275" s="137"/>
      <c r="T2275" s="137"/>
      <c r="U2275" s="137"/>
      <c r="V2275" s="137"/>
      <c r="W2275" s="137"/>
    </row>
    <row r="2276" spans="1:23" x14ac:dyDescent="0.25">
      <c r="A2276" s="137"/>
      <c r="B2276" s="137"/>
      <c r="C2276" s="137"/>
      <c r="D2276" s="137"/>
      <c r="E2276" s="137"/>
      <c r="F2276" s="137"/>
      <c r="G2276" s="137"/>
      <c r="H2276" s="137"/>
      <c r="I2276" s="137"/>
      <c r="J2276" s="137"/>
      <c r="K2276" s="137"/>
      <c r="L2276" s="137"/>
      <c r="M2276" s="137"/>
      <c r="N2276" s="137"/>
      <c r="O2276" s="137"/>
      <c r="P2276" s="137"/>
      <c r="Q2276" s="137"/>
      <c r="R2276" s="137"/>
      <c r="S2276" s="137"/>
      <c r="T2276" s="137"/>
      <c r="U2276" s="137"/>
      <c r="V2276" s="137"/>
      <c r="W2276" s="137"/>
    </row>
    <row r="2277" spans="1:23" x14ac:dyDescent="0.25">
      <c r="A2277" s="137"/>
      <c r="B2277" s="137"/>
      <c r="C2277" s="137"/>
      <c r="D2277" s="137"/>
      <c r="E2277" s="137"/>
      <c r="F2277" s="137"/>
      <c r="G2277" s="137"/>
      <c r="H2277" s="137"/>
      <c r="I2277" s="137"/>
      <c r="J2277" s="137"/>
      <c r="K2277" s="137"/>
      <c r="L2277" s="137"/>
      <c r="M2277" s="137"/>
      <c r="N2277" s="137"/>
      <c r="O2277" s="137"/>
      <c r="P2277" s="137"/>
      <c r="Q2277" s="137"/>
      <c r="R2277" s="137"/>
      <c r="S2277" s="137"/>
      <c r="T2277" s="137"/>
      <c r="U2277" s="137"/>
      <c r="V2277" s="137"/>
      <c r="W2277" s="137"/>
    </row>
    <row r="2278" spans="1:23" x14ac:dyDescent="0.25">
      <c r="A2278" s="137"/>
      <c r="B2278" s="137"/>
      <c r="C2278" s="137"/>
      <c r="D2278" s="137"/>
      <c r="E2278" s="137"/>
      <c r="F2278" s="137"/>
      <c r="G2278" s="137"/>
      <c r="H2278" s="137"/>
      <c r="I2278" s="137"/>
      <c r="J2278" s="137"/>
      <c r="K2278" s="137"/>
      <c r="L2278" s="137"/>
      <c r="M2278" s="137"/>
      <c r="N2278" s="137"/>
      <c r="O2278" s="137"/>
      <c r="P2278" s="137"/>
      <c r="Q2278" s="137"/>
      <c r="R2278" s="137"/>
      <c r="S2278" s="137"/>
      <c r="T2278" s="137"/>
      <c r="U2278" s="137"/>
      <c r="V2278" s="137"/>
      <c r="W2278" s="137"/>
    </row>
    <row r="2279" spans="1:23" x14ac:dyDescent="0.25">
      <c r="A2279" s="137"/>
      <c r="B2279" s="137"/>
      <c r="C2279" s="137"/>
      <c r="D2279" s="137"/>
      <c r="E2279" s="137"/>
      <c r="F2279" s="137"/>
      <c r="G2279" s="137"/>
      <c r="H2279" s="137"/>
      <c r="I2279" s="137"/>
      <c r="J2279" s="137"/>
      <c r="K2279" s="137"/>
      <c r="L2279" s="137"/>
      <c r="M2279" s="137"/>
      <c r="N2279" s="137"/>
      <c r="O2279" s="137"/>
      <c r="P2279" s="137"/>
      <c r="Q2279" s="137"/>
      <c r="R2279" s="137"/>
      <c r="S2279" s="137"/>
      <c r="T2279" s="137"/>
      <c r="U2279" s="137"/>
      <c r="V2279" s="137"/>
      <c r="W2279" s="137"/>
    </row>
    <row r="2280" spans="1:23" x14ac:dyDescent="0.25">
      <c r="A2280" s="137"/>
      <c r="B2280" s="137"/>
      <c r="C2280" s="137"/>
      <c r="D2280" s="137"/>
      <c r="E2280" s="137"/>
      <c r="F2280" s="137"/>
      <c r="G2280" s="137"/>
      <c r="H2280" s="137"/>
      <c r="I2280" s="137"/>
      <c r="J2280" s="137"/>
      <c r="K2280" s="137"/>
      <c r="L2280" s="137"/>
      <c r="M2280" s="137"/>
      <c r="N2280" s="137"/>
      <c r="O2280" s="137"/>
      <c r="P2280" s="137"/>
      <c r="Q2280" s="137"/>
      <c r="R2280" s="137"/>
      <c r="S2280" s="137"/>
      <c r="T2280" s="137"/>
      <c r="U2280" s="137"/>
      <c r="V2280" s="137"/>
      <c r="W2280" s="137"/>
    </row>
    <row r="2281" spans="1:23" x14ac:dyDescent="0.25">
      <c r="A2281" s="137"/>
      <c r="B2281" s="137"/>
      <c r="C2281" s="137"/>
      <c r="D2281" s="137"/>
      <c r="E2281" s="137"/>
      <c r="F2281" s="137"/>
      <c r="G2281" s="137"/>
      <c r="H2281" s="137"/>
      <c r="I2281" s="137"/>
      <c r="J2281" s="137"/>
      <c r="K2281" s="137"/>
      <c r="L2281" s="137"/>
      <c r="M2281" s="137"/>
      <c r="N2281" s="137"/>
      <c r="O2281" s="137"/>
      <c r="P2281" s="137"/>
      <c r="Q2281" s="137"/>
      <c r="R2281" s="137"/>
      <c r="S2281" s="137"/>
      <c r="T2281" s="137"/>
      <c r="U2281" s="137"/>
      <c r="V2281" s="137"/>
      <c r="W2281" s="137"/>
    </row>
    <row r="2282" spans="1:23" x14ac:dyDescent="0.25">
      <c r="A2282" s="137"/>
      <c r="B2282" s="137"/>
      <c r="C2282" s="137"/>
      <c r="D2282" s="137"/>
      <c r="E2282" s="137"/>
      <c r="F2282" s="137"/>
      <c r="G2282" s="137"/>
      <c r="H2282" s="137"/>
      <c r="I2282" s="137"/>
      <c r="J2282" s="137"/>
      <c r="K2282" s="137"/>
      <c r="L2282" s="137"/>
      <c r="M2282" s="137"/>
      <c r="N2282" s="137"/>
      <c r="O2282" s="137"/>
      <c r="P2282" s="137"/>
      <c r="Q2282" s="137"/>
      <c r="R2282" s="137"/>
      <c r="S2282" s="137"/>
      <c r="T2282" s="137"/>
      <c r="U2282" s="137"/>
      <c r="V2282" s="137"/>
      <c r="W2282" s="137"/>
    </row>
    <row r="2283" spans="1:23" x14ac:dyDescent="0.25">
      <c r="A2283" s="137"/>
      <c r="B2283" s="137"/>
      <c r="C2283" s="137"/>
      <c r="D2283" s="137"/>
      <c r="E2283" s="137"/>
      <c r="F2283" s="137"/>
      <c r="G2283" s="137"/>
      <c r="H2283" s="137"/>
      <c r="I2283" s="137"/>
      <c r="J2283" s="137"/>
      <c r="K2283" s="137"/>
      <c r="L2283" s="137"/>
      <c r="M2283" s="137"/>
      <c r="N2283" s="137"/>
      <c r="O2283" s="137"/>
      <c r="P2283" s="137"/>
      <c r="Q2283" s="137"/>
      <c r="R2283" s="137"/>
      <c r="S2283" s="137"/>
      <c r="T2283" s="137"/>
      <c r="U2283" s="137"/>
      <c r="V2283" s="137"/>
      <c r="W2283" s="137"/>
    </row>
    <row r="2284" spans="1:23" x14ac:dyDescent="0.25">
      <c r="A2284" s="137"/>
      <c r="B2284" s="137"/>
      <c r="C2284" s="137"/>
      <c r="D2284" s="137"/>
      <c r="E2284" s="137"/>
      <c r="F2284" s="137"/>
      <c r="G2284" s="137"/>
      <c r="H2284" s="137"/>
      <c r="I2284" s="137"/>
      <c r="J2284" s="137"/>
      <c r="K2284" s="137"/>
      <c r="L2284" s="137"/>
      <c r="M2284" s="137"/>
      <c r="N2284" s="137"/>
      <c r="O2284" s="137"/>
      <c r="P2284" s="137"/>
      <c r="Q2284" s="137"/>
      <c r="R2284" s="137"/>
      <c r="S2284" s="137"/>
      <c r="T2284" s="137"/>
      <c r="U2284" s="137"/>
      <c r="V2284" s="137"/>
      <c r="W2284" s="137"/>
    </row>
    <row r="2285" spans="1:23" x14ac:dyDescent="0.25">
      <c r="A2285" s="137"/>
      <c r="B2285" s="137"/>
      <c r="C2285" s="137"/>
      <c r="D2285" s="137"/>
      <c r="E2285" s="137"/>
      <c r="F2285" s="137"/>
      <c r="G2285" s="137"/>
      <c r="H2285" s="137"/>
      <c r="I2285" s="137"/>
      <c r="J2285" s="137"/>
      <c r="K2285" s="137"/>
      <c r="L2285" s="137"/>
      <c r="M2285" s="137"/>
      <c r="N2285" s="137"/>
      <c r="O2285" s="137"/>
      <c r="P2285" s="137"/>
      <c r="Q2285" s="137"/>
      <c r="R2285" s="137"/>
      <c r="S2285" s="137"/>
      <c r="T2285" s="137"/>
      <c r="U2285" s="137"/>
      <c r="V2285" s="137"/>
      <c r="W2285" s="137"/>
    </row>
    <row r="2286" spans="1:23" x14ac:dyDescent="0.25">
      <c r="A2286" s="137"/>
      <c r="B2286" s="137"/>
      <c r="C2286" s="137"/>
      <c r="D2286" s="137"/>
      <c r="E2286" s="137"/>
      <c r="F2286" s="137"/>
      <c r="G2286" s="137"/>
      <c r="H2286" s="137"/>
      <c r="I2286" s="137"/>
      <c r="J2286" s="137"/>
      <c r="K2286" s="137"/>
      <c r="L2286" s="137"/>
      <c r="M2286" s="137"/>
      <c r="N2286" s="137"/>
      <c r="O2286" s="137"/>
      <c r="P2286" s="137"/>
      <c r="Q2286" s="137"/>
      <c r="R2286" s="137"/>
      <c r="S2286" s="137"/>
      <c r="T2286" s="137"/>
      <c r="U2286" s="137"/>
      <c r="V2286" s="137"/>
      <c r="W2286" s="137"/>
    </row>
    <row r="2287" spans="1:23" x14ac:dyDescent="0.25">
      <c r="A2287" s="137"/>
      <c r="B2287" s="137"/>
      <c r="C2287" s="137"/>
      <c r="D2287" s="137"/>
      <c r="E2287" s="137"/>
      <c r="F2287" s="137"/>
      <c r="G2287" s="137"/>
      <c r="H2287" s="137"/>
      <c r="I2287" s="137"/>
      <c r="J2287" s="137"/>
      <c r="K2287" s="137"/>
      <c r="L2287" s="137"/>
      <c r="M2287" s="137"/>
      <c r="N2287" s="137"/>
      <c r="O2287" s="137"/>
      <c r="P2287" s="137"/>
      <c r="Q2287" s="137"/>
      <c r="R2287" s="137"/>
      <c r="S2287" s="137"/>
      <c r="T2287" s="137"/>
      <c r="U2287" s="137"/>
      <c r="V2287" s="137"/>
      <c r="W2287" s="137"/>
    </row>
    <row r="2288" spans="1:23" x14ac:dyDescent="0.25">
      <c r="A2288" s="137"/>
      <c r="B2288" s="137"/>
      <c r="C2288" s="137"/>
      <c r="D2288" s="137"/>
      <c r="E2288" s="137"/>
      <c r="F2288" s="137"/>
      <c r="G2288" s="137"/>
      <c r="H2288" s="137"/>
      <c r="I2288" s="137"/>
      <c r="J2288" s="137"/>
      <c r="K2288" s="137"/>
      <c r="L2288" s="137"/>
      <c r="M2288" s="137"/>
      <c r="N2288" s="137"/>
      <c r="O2288" s="137"/>
      <c r="P2288" s="137"/>
      <c r="Q2288" s="137"/>
      <c r="R2288" s="137"/>
      <c r="S2288" s="137"/>
      <c r="T2288" s="137"/>
      <c r="U2288" s="137"/>
      <c r="V2288" s="137"/>
      <c r="W2288" s="137"/>
    </row>
    <row r="2289" spans="1:23" x14ac:dyDescent="0.25">
      <c r="A2289" s="137"/>
      <c r="B2289" s="137"/>
      <c r="C2289" s="137"/>
      <c r="D2289" s="137"/>
      <c r="E2289" s="137"/>
      <c r="F2289" s="137"/>
      <c r="G2289" s="137"/>
      <c r="H2289" s="137"/>
      <c r="I2289" s="137"/>
      <c r="J2289" s="137"/>
      <c r="K2289" s="137"/>
      <c r="L2289" s="137"/>
      <c r="M2289" s="137"/>
      <c r="N2289" s="137"/>
      <c r="O2289" s="137"/>
      <c r="P2289" s="137"/>
      <c r="Q2289" s="137"/>
      <c r="R2289" s="137"/>
      <c r="S2289" s="137"/>
      <c r="T2289" s="137"/>
      <c r="U2289" s="137"/>
      <c r="V2289" s="137"/>
      <c r="W2289" s="137"/>
    </row>
    <row r="2290" spans="1:23" x14ac:dyDescent="0.25">
      <c r="A2290" s="137"/>
      <c r="B2290" s="137"/>
      <c r="C2290" s="137"/>
      <c r="D2290" s="137"/>
      <c r="E2290" s="137"/>
      <c r="F2290" s="137"/>
      <c r="G2290" s="137"/>
      <c r="H2290" s="137"/>
      <c r="I2290" s="137"/>
      <c r="J2290" s="137"/>
      <c r="K2290" s="137"/>
      <c r="L2290" s="137"/>
      <c r="M2290" s="137"/>
      <c r="N2290" s="137"/>
      <c r="O2290" s="137"/>
      <c r="P2290" s="137"/>
      <c r="Q2290" s="137"/>
      <c r="R2290" s="137"/>
      <c r="S2290" s="137"/>
      <c r="T2290" s="137"/>
      <c r="U2290" s="137"/>
      <c r="V2290" s="137"/>
      <c r="W2290" s="137"/>
    </row>
    <row r="2291" spans="1:23" x14ac:dyDescent="0.25">
      <c r="A2291" s="137"/>
      <c r="B2291" s="137"/>
      <c r="C2291" s="137"/>
      <c r="D2291" s="137"/>
      <c r="E2291" s="137"/>
      <c r="F2291" s="137"/>
      <c r="G2291" s="137"/>
      <c r="H2291" s="137"/>
      <c r="I2291" s="137"/>
      <c r="J2291" s="137"/>
      <c r="K2291" s="137"/>
      <c r="L2291" s="137"/>
      <c r="M2291" s="137"/>
      <c r="N2291" s="137"/>
      <c r="O2291" s="137"/>
      <c r="P2291" s="137"/>
      <c r="Q2291" s="137"/>
      <c r="R2291" s="137"/>
      <c r="S2291" s="137"/>
      <c r="T2291" s="137"/>
      <c r="U2291" s="137"/>
      <c r="V2291" s="137"/>
      <c r="W2291" s="137"/>
    </row>
    <row r="2292" spans="1:23" x14ac:dyDescent="0.25">
      <c r="A2292" s="137"/>
      <c r="B2292" s="137"/>
      <c r="C2292" s="137"/>
      <c r="D2292" s="137"/>
      <c r="E2292" s="137"/>
      <c r="F2292" s="137"/>
      <c r="G2292" s="137"/>
      <c r="H2292" s="137"/>
      <c r="I2292" s="137"/>
      <c r="J2292" s="137"/>
      <c r="K2292" s="137"/>
      <c r="L2292" s="137"/>
      <c r="M2292" s="137"/>
      <c r="N2292" s="137"/>
      <c r="O2292" s="137"/>
      <c r="P2292" s="137"/>
      <c r="Q2292" s="137"/>
      <c r="R2292" s="137"/>
      <c r="S2292" s="137"/>
      <c r="T2292" s="137"/>
      <c r="U2292" s="137"/>
      <c r="V2292" s="137"/>
      <c r="W2292" s="137"/>
    </row>
    <row r="2293" spans="1:23" x14ac:dyDescent="0.25">
      <c r="A2293" s="137"/>
      <c r="B2293" s="137"/>
      <c r="C2293" s="137"/>
      <c r="D2293" s="137"/>
      <c r="E2293" s="137"/>
      <c r="F2293" s="137"/>
      <c r="G2293" s="137"/>
      <c r="H2293" s="137"/>
      <c r="I2293" s="137"/>
      <c r="J2293" s="137"/>
      <c r="K2293" s="137"/>
      <c r="L2293" s="137"/>
      <c r="M2293" s="137"/>
      <c r="N2293" s="137"/>
      <c r="O2293" s="137"/>
      <c r="P2293" s="137"/>
      <c r="Q2293" s="137"/>
      <c r="R2293" s="137"/>
      <c r="S2293" s="137"/>
      <c r="T2293" s="137"/>
      <c r="U2293" s="137"/>
      <c r="V2293" s="137"/>
      <c r="W2293" s="137"/>
    </row>
    <row r="2294" spans="1:23" x14ac:dyDescent="0.25">
      <c r="A2294" s="137"/>
      <c r="B2294" s="137"/>
      <c r="C2294" s="137"/>
      <c r="D2294" s="137"/>
      <c r="E2294" s="137"/>
      <c r="F2294" s="137"/>
      <c r="G2294" s="137"/>
      <c r="H2294" s="137"/>
      <c r="I2294" s="137"/>
      <c r="J2294" s="137"/>
      <c r="K2294" s="137"/>
      <c r="L2294" s="137"/>
      <c r="M2294" s="137"/>
      <c r="N2294" s="137"/>
      <c r="O2294" s="137"/>
      <c r="P2294" s="137"/>
      <c r="Q2294" s="137"/>
      <c r="R2294" s="137"/>
      <c r="S2294" s="137"/>
      <c r="T2294" s="137"/>
      <c r="U2294" s="137"/>
      <c r="V2294" s="137"/>
      <c r="W2294" s="137"/>
    </row>
    <row r="2295" spans="1:23" x14ac:dyDescent="0.25">
      <c r="A2295" s="137"/>
      <c r="B2295" s="137"/>
      <c r="C2295" s="137"/>
      <c r="D2295" s="137"/>
      <c r="E2295" s="137"/>
      <c r="F2295" s="137"/>
      <c r="G2295" s="137"/>
      <c r="H2295" s="137"/>
      <c r="I2295" s="137"/>
      <c r="J2295" s="137"/>
      <c r="K2295" s="137"/>
      <c r="L2295" s="137"/>
      <c r="M2295" s="137"/>
      <c r="N2295" s="137"/>
      <c r="O2295" s="137"/>
      <c r="P2295" s="137"/>
      <c r="Q2295" s="137"/>
      <c r="R2295" s="137"/>
      <c r="S2295" s="137"/>
      <c r="T2295" s="137"/>
      <c r="U2295" s="137"/>
      <c r="V2295" s="137"/>
      <c r="W2295" s="137"/>
    </row>
    <row r="2296" spans="1:23" x14ac:dyDescent="0.25">
      <c r="A2296" s="137"/>
      <c r="B2296" s="137"/>
      <c r="C2296" s="137"/>
      <c r="D2296" s="137"/>
      <c r="E2296" s="137"/>
      <c r="F2296" s="137"/>
      <c r="G2296" s="137"/>
      <c r="H2296" s="137"/>
      <c r="I2296" s="137"/>
      <c r="J2296" s="137"/>
      <c r="K2296" s="137"/>
      <c r="L2296" s="137"/>
      <c r="M2296" s="137"/>
      <c r="N2296" s="137"/>
      <c r="O2296" s="137"/>
      <c r="P2296" s="137"/>
      <c r="Q2296" s="137"/>
      <c r="R2296" s="137"/>
      <c r="S2296" s="137"/>
      <c r="T2296" s="137"/>
      <c r="U2296" s="137"/>
      <c r="V2296" s="137"/>
      <c r="W2296" s="137"/>
    </row>
    <row r="2297" spans="1:23" x14ac:dyDescent="0.25">
      <c r="A2297" s="137"/>
      <c r="B2297" s="137"/>
      <c r="C2297" s="137"/>
      <c r="D2297" s="137"/>
      <c r="E2297" s="137"/>
      <c r="F2297" s="137"/>
      <c r="G2297" s="137"/>
      <c r="H2297" s="137"/>
      <c r="I2297" s="137"/>
      <c r="J2297" s="137"/>
      <c r="K2297" s="137"/>
      <c r="L2297" s="137"/>
      <c r="M2297" s="137"/>
      <c r="N2297" s="137"/>
      <c r="O2297" s="137"/>
      <c r="P2297" s="137"/>
      <c r="Q2297" s="137"/>
      <c r="R2297" s="137"/>
      <c r="S2297" s="137"/>
      <c r="T2297" s="137"/>
      <c r="U2297" s="137"/>
      <c r="V2297" s="137"/>
      <c r="W2297" s="137"/>
    </row>
    <row r="2298" spans="1:23" x14ac:dyDescent="0.25">
      <c r="A2298" s="137"/>
      <c r="B2298" s="137"/>
      <c r="C2298" s="137"/>
      <c r="D2298" s="137"/>
      <c r="E2298" s="137"/>
      <c r="F2298" s="137"/>
      <c r="G2298" s="137"/>
      <c r="H2298" s="137"/>
      <c r="I2298" s="137"/>
      <c r="J2298" s="137"/>
      <c r="K2298" s="137"/>
      <c r="L2298" s="137"/>
      <c r="M2298" s="137"/>
      <c r="N2298" s="137"/>
      <c r="O2298" s="137"/>
      <c r="P2298" s="137"/>
      <c r="Q2298" s="137"/>
      <c r="R2298" s="137"/>
      <c r="S2298" s="137"/>
      <c r="T2298" s="137"/>
      <c r="U2298" s="137"/>
      <c r="V2298" s="137"/>
      <c r="W2298" s="137"/>
    </row>
    <row r="2299" spans="1:23" x14ac:dyDescent="0.25">
      <c r="A2299" s="137"/>
      <c r="B2299" s="137"/>
      <c r="C2299" s="137"/>
      <c r="D2299" s="137"/>
      <c r="E2299" s="137"/>
      <c r="F2299" s="137"/>
      <c r="G2299" s="137"/>
      <c r="H2299" s="137"/>
      <c r="I2299" s="137"/>
      <c r="J2299" s="137"/>
      <c r="K2299" s="137"/>
      <c r="L2299" s="137"/>
      <c r="M2299" s="137"/>
      <c r="N2299" s="137"/>
      <c r="O2299" s="137"/>
      <c r="P2299" s="137"/>
      <c r="Q2299" s="137"/>
      <c r="R2299" s="137"/>
      <c r="S2299" s="137"/>
      <c r="T2299" s="137"/>
      <c r="U2299" s="137"/>
      <c r="V2299" s="137"/>
      <c r="W2299" s="137"/>
    </row>
    <row r="2300" spans="1:23" x14ac:dyDescent="0.25">
      <c r="A2300" s="137"/>
      <c r="B2300" s="137"/>
      <c r="C2300" s="137"/>
      <c r="D2300" s="137"/>
      <c r="E2300" s="137"/>
      <c r="F2300" s="137"/>
      <c r="G2300" s="137"/>
      <c r="H2300" s="137"/>
      <c r="I2300" s="137"/>
      <c r="J2300" s="137"/>
      <c r="K2300" s="137"/>
      <c r="L2300" s="137"/>
      <c r="M2300" s="137"/>
      <c r="N2300" s="137"/>
      <c r="O2300" s="137"/>
      <c r="P2300" s="137"/>
      <c r="Q2300" s="137"/>
      <c r="R2300" s="137"/>
      <c r="S2300" s="137"/>
      <c r="T2300" s="137"/>
      <c r="U2300" s="137"/>
      <c r="V2300" s="137"/>
      <c r="W2300" s="137"/>
    </row>
    <row r="2301" spans="1:23" x14ac:dyDescent="0.25">
      <c r="A2301" s="137"/>
      <c r="B2301" s="137"/>
      <c r="C2301" s="137"/>
      <c r="D2301" s="137"/>
      <c r="E2301" s="137"/>
      <c r="F2301" s="137"/>
      <c r="G2301" s="137"/>
      <c r="H2301" s="137"/>
      <c r="I2301" s="137"/>
      <c r="J2301" s="137"/>
      <c r="K2301" s="137"/>
      <c r="L2301" s="137"/>
      <c r="M2301" s="137"/>
      <c r="N2301" s="137"/>
      <c r="O2301" s="137"/>
      <c r="P2301" s="137"/>
      <c r="Q2301" s="137"/>
      <c r="R2301" s="137"/>
      <c r="S2301" s="137"/>
      <c r="T2301" s="137"/>
      <c r="U2301" s="137"/>
      <c r="V2301" s="137"/>
      <c r="W2301" s="137"/>
    </row>
    <row r="2302" spans="1:23" x14ac:dyDescent="0.25">
      <c r="A2302" s="137"/>
      <c r="B2302" s="137"/>
      <c r="C2302" s="137"/>
      <c r="D2302" s="137"/>
      <c r="E2302" s="137"/>
      <c r="F2302" s="137"/>
      <c r="G2302" s="137"/>
      <c r="H2302" s="137"/>
      <c r="I2302" s="137"/>
      <c r="J2302" s="137"/>
      <c r="K2302" s="137"/>
      <c r="L2302" s="137"/>
      <c r="M2302" s="137"/>
      <c r="N2302" s="137"/>
      <c r="O2302" s="137"/>
      <c r="P2302" s="137"/>
      <c r="Q2302" s="137"/>
      <c r="R2302" s="137"/>
      <c r="S2302" s="137"/>
      <c r="T2302" s="137"/>
      <c r="U2302" s="137"/>
      <c r="V2302" s="137"/>
      <c r="W2302" s="137"/>
    </row>
    <row r="2303" spans="1:23" x14ac:dyDescent="0.25">
      <c r="A2303" s="137"/>
      <c r="B2303" s="137"/>
      <c r="C2303" s="137"/>
      <c r="D2303" s="137"/>
      <c r="E2303" s="137"/>
      <c r="F2303" s="137"/>
      <c r="G2303" s="137"/>
      <c r="H2303" s="137"/>
      <c r="I2303" s="137"/>
      <c r="J2303" s="137"/>
      <c r="K2303" s="137"/>
      <c r="L2303" s="137"/>
      <c r="M2303" s="137"/>
      <c r="N2303" s="137"/>
      <c r="O2303" s="137"/>
      <c r="P2303" s="137"/>
      <c r="Q2303" s="137"/>
      <c r="R2303" s="137"/>
      <c r="S2303" s="137"/>
      <c r="T2303" s="137"/>
      <c r="U2303" s="137"/>
      <c r="V2303" s="137"/>
      <c r="W2303" s="137"/>
    </row>
    <row r="2304" spans="1:23" x14ac:dyDescent="0.25">
      <c r="A2304" s="137"/>
      <c r="B2304" s="137"/>
      <c r="C2304" s="137"/>
      <c r="D2304" s="137"/>
      <c r="E2304" s="137"/>
      <c r="F2304" s="137"/>
      <c r="G2304" s="137"/>
      <c r="H2304" s="137"/>
      <c r="I2304" s="137"/>
      <c r="J2304" s="137"/>
      <c r="K2304" s="137"/>
      <c r="L2304" s="137"/>
      <c r="M2304" s="137"/>
      <c r="N2304" s="137"/>
      <c r="O2304" s="137"/>
      <c r="P2304" s="137"/>
      <c r="Q2304" s="137"/>
      <c r="R2304" s="137"/>
      <c r="S2304" s="137"/>
      <c r="T2304" s="137"/>
      <c r="U2304" s="137"/>
      <c r="V2304" s="137"/>
      <c r="W2304" s="137"/>
    </row>
    <row r="2305" spans="1:23" x14ac:dyDescent="0.25">
      <c r="A2305" s="137"/>
      <c r="B2305" s="137"/>
      <c r="C2305" s="137"/>
      <c r="D2305" s="137"/>
      <c r="E2305" s="137"/>
      <c r="F2305" s="137"/>
      <c r="G2305" s="137"/>
      <c r="H2305" s="137"/>
      <c r="I2305" s="137"/>
      <c r="J2305" s="137"/>
      <c r="K2305" s="137"/>
      <c r="L2305" s="137"/>
      <c r="M2305" s="137"/>
      <c r="N2305" s="137"/>
      <c r="O2305" s="137"/>
      <c r="P2305" s="137"/>
      <c r="Q2305" s="137"/>
      <c r="R2305" s="137"/>
      <c r="S2305" s="137"/>
      <c r="T2305" s="137"/>
      <c r="U2305" s="137"/>
      <c r="V2305" s="137"/>
      <c r="W2305" s="137"/>
    </row>
    <row r="2306" spans="1:23" x14ac:dyDescent="0.25">
      <c r="A2306" s="137"/>
      <c r="B2306" s="137"/>
      <c r="C2306" s="137"/>
      <c r="D2306" s="137"/>
      <c r="E2306" s="137"/>
      <c r="F2306" s="137"/>
      <c r="G2306" s="137"/>
      <c r="H2306" s="137"/>
      <c r="I2306" s="137"/>
      <c r="J2306" s="137"/>
      <c r="K2306" s="137"/>
      <c r="L2306" s="137"/>
      <c r="M2306" s="137"/>
      <c r="N2306" s="137"/>
      <c r="O2306" s="137"/>
      <c r="P2306" s="137"/>
      <c r="Q2306" s="137"/>
      <c r="R2306" s="137"/>
      <c r="S2306" s="137"/>
      <c r="T2306" s="137"/>
      <c r="U2306" s="137"/>
      <c r="V2306" s="137"/>
      <c r="W2306" s="137"/>
    </row>
    <row r="2307" spans="1:23" x14ac:dyDescent="0.25">
      <c r="A2307" s="137"/>
      <c r="B2307" s="137"/>
      <c r="C2307" s="137"/>
      <c r="D2307" s="137"/>
      <c r="E2307" s="137"/>
      <c r="F2307" s="137"/>
      <c r="G2307" s="137"/>
      <c r="H2307" s="137"/>
      <c r="I2307" s="137"/>
      <c r="J2307" s="137"/>
      <c r="K2307" s="137"/>
      <c r="L2307" s="137"/>
      <c r="M2307" s="137"/>
      <c r="N2307" s="137"/>
      <c r="O2307" s="137"/>
      <c r="P2307" s="137"/>
      <c r="Q2307" s="137"/>
      <c r="R2307" s="137"/>
      <c r="S2307" s="137"/>
      <c r="T2307" s="137"/>
      <c r="U2307" s="137"/>
      <c r="V2307" s="137"/>
      <c r="W2307" s="137"/>
    </row>
    <row r="2308" spans="1:23" x14ac:dyDescent="0.25">
      <c r="A2308" s="137"/>
      <c r="B2308" s="137"/>
      <c r="C2308" s="137"/>
      <c r="D2308" s="137"/>
      <c r="E2308" s="137"/>
      <c r="F2308" s="137"/>
      <c r="G2308" s="137"/>
      <c r="H2308" s="137"/>
      <c r="I2308" s="137"/>
      <c r="J2308" s="137"/>
      <c r="K2308" s="137"/>
      <c r="L2308" s="137"/>
      <c r="M2308" s="137"/>
      <c r="N2308" s="137"/>
      <c r="O2308" s="137"/>
      <c r="P2308" s="137"/>
      <c r="Q2308" s="137"/>
      <c r="R2308" s="137"/>
      <c r="S2308" s="137"/>
      <c r="T2308" s="137"/>
      <c r="U2308" s="137"/>
      <c r="V2308" s="137"/>
      <c r="W2308" s="137"/>
    </row>
    <row r="2309" spans="1:23" x14ac:dyDescent="0.25">
      <c r="A2309" s="137"/>
      <c r="B2309" s="137"/>
      <c r="C2309" s="137"/>
      <c r="D2309" s="137"/>
      <c r="E2309" s="137"/>
      <c r="F2309" s="137"/>
      <c r="G2309" s="137"/>
      <c r="H2309" s="137"/>
      <c r="I2309" s="137"/>
      <c r="J2309" s="137"/>
      <c r="K2309" s="137"/>
      <c r="L2309" s="137"/>
      <c r="M2309" s="137"/>
      <c r="N2309" s="137"/>
      <c r="O2309" s="137"/>
      <c r="P2309" s="137"/>
      <c r="Q2309" s="137"/>
      <c r="R2309" s="137"/>
      <c r="S2309" s="137"/>
      <c r="T2309" s="137"/>
      <c r="U2309" s="137"/>
      <c r="V2309" s="137"/>
      <c r="W2309" s="137"/>
    </row>
    <row r="2310" spans="1:23" x14ac:dyDescent="0.25">
      <c r="A2310" s="137"/>
      <c r="B2310" s="137"/>
      <c r="C2310" s="137"/>
      <c r="D2310" s="137"/>
      <c r="E2310" s="137"/>
      <c r="F2310" s="137"/>
      <c r="G2310" s="137"/>
      <c r="H2310" s="137"/>
      <c r="I2310" s="137"/>
      <c r="J2310" s="137"/>
      <c r="K2310" s="137"/>
      <c r="L2310" s="137"/>
      <c r="M2310" s="137"/>
      <c r="N2310" s="137"/>
      <c r="O2310" s="137"/>
      <c r="P2310" s="137"/>
      <c r="Q2310" s="137"/>
      <c r="R2310" s="137"/>
      <c r="S2310" s="137"/>
      <c r="T2310" s="137"/>
      <c r="U2310" s="137"/>
      <c r="V2310" s="137"/>
      <c r="W2310" s="137"/>
    </row>
    <row r="2311" spans="1:23" x14ac:dyDescent="0.25">
      <c r="A2311" s="137"/>
      <c r="B2311" s="137"/>
      <c r="C2311" s="137"/>
      <c r="D2311" s="137"/>
      <c r="E2311" s="137"/>
      <c r="F2311" s="137"/>
      <c r="G2311" s="137"/>
      <c r="H2311" s="137"/>
      <c r="I2311" s="137"/>
      <c r="J2311" s="137"/>
      <c r="K2311" s="137"/>
      <c r="L2311" s="137"/>
      <c r="M2311" s="137"/>
      <c r="N2311" s="137"/>
      <c r="O2311" s="137"/>
      <c r="P2311" s="137"/>
      <c r="Q2311" s="137"/>
      <c r="R2311" s="137"/>
      <c r="S2311" s="137"/>
      <c r="T2311" s="137"/>
      <c r="U2311" s="137"/>
      <c r="V2311" s="137"/>
      <c r="W2311" s="137"/>
    </row>
    <row r="2312" spans="1:23" x14ac:dyDescent="0.25">
      <c r="A2312" s="137"/>
      <c r="B2312" s="137"/>
      <c r="C2312" s="137"/>
      <c r="D2312" s="137"/>
      <c r="E2312" s="137"/>
      <c r="F2312" s="137"/>
      <c r="G2312" s="137"/>
      <c r="H2312" s="137"/>
      <c r="I2312" s="137"/>
      <c r="J2312" s="137"/>
      <c r="K2312" s="137"/>
      <c r="L2312" s="137"/>
      <c r="M2312" s="137"/>
      <c r="N2312" s="137"/>
      <c r="O2312" s="137"/>
      <c r="P2312" s="137"/>
      <c r="Q2312" s="137"/>
      <c r="R2312" s="137"/>
      <c r="S2312" s="137"/>
      <c r="T2312" s="137"/>
      <c r="U2312" s="137"/>
      <c r="V2312" s="137"/>
      <c r="W2312" s="137"/>
    </row>
    <row r="2313" spans="1:23" x14ac:dyDescent="0.25">
      <c r="A2313" s="137"/>
      <c r="B2313" s="137"/>
      <c r="C2313" s="137"/>
      <c r="D2313" s="137"/>
      <c r="E2313" s="137"/>
      <c r="F2313" s="137"/>
      <c r="G2313" s="137"/>
      <c r="H2313" s="137"/>
      <c r="I2313" s="137"/>
      <c r="J2313" s="137"/>
      <c r="K2313" s="137"/>
      <c r="L2313" s="137"/>
      <c r="M2313" s="137"/>
      <c r="N2313" s="137"/>
      <c r="O2313" s="137"/>
      <c r="P2313" s="137"/>
      <c r="Q2313" s="137"/>
      <c r="R2313" s="137"/>
      <c r="S2313" s="137"/>
      <c r="T2313" s="137"/>
      <c r="U2313" s="137"/>
      <c r="V2313" s="137"/>
      <c r="W2313" s="137"/>
    </row>
    <row r="2314" spans="1:23" x14ac:dyDescent="0.25">
      <c r="A2314" s="137"/>
      <c r="B2314" s="137"/>
      <c r="C2314" s="137"/>
      <c r="D2314" s="137"/>
      <c r="E2314" s="137"/>
      <c r="F2314" s="137"/>
      <c r="G2314" s="137"/>
      <c r="H2314" s="137"/>
      <c r="I2314" s="137"/>
      <c r="J2314" s="137"/>
      <c r="K2314" s="137"/>
      <c r="L2314" s="137"/>
      <c r="M2314" s="137"/>
      <c r="N2314" s="137"/>
      <c r="O2314" s="137"/>
      <c r="P2314" s="137"/>
      <c r="Q2314" s="137"/>
      <c r="R2314" s="137"/>
      <c r="S2314" s="137"/>
      <c r="T2314" s="137"/>
      <c r="U2314" s="137"/>
      <c r="V2314" s="137"/>
      <c r="W2314" s="137"/>
    </row>
    <row r="2315" spans="1:23" x14ac:dyDescent="0.25">
      <c r="A2315" s="137"/>
      <c r="B2315" s="137"/>
      <c r="C2315" s="137"/>
      <c r="D2315" s="137"/>
      <c r="E2315" s="137"/>
      <c r="F2315" s="137"/>
      <c r="G2315" s="137"/>
      <c r="H2315" s="137"/>
      <c r="I2315" s="137"/>
      <c r="J2315" s="137"/>
      <c r="K2315" s="137"/>
      <c r="L2315" s="137"/>
      <c r="M2315" s="137"/>
      <c r="N2315" s="137"/>
      <c r="O2315" s="137"/>
      <c r="P2315" s="137"/>
      <c r="Q2315" s="137"/>
      <c r="R2315" s="137"/>
      <c r="S2315" s="137"/>
      <c r="T2315" s="137"/>
      <c r="U2315" s="137"/>
      <c r="V2315" s="137"/>
      <c r="W2315" s="137"/>
    </row>
    <row r="2316" spans="1:23" x14ac:dyDescent="0.25">
      <c r="A2316" s="137"/>
      <c r="B2316" s="137"/>
      <c r="C2316" s="137"/>
      <c r="D2316" s="137"/>
      <c r="E2316" s="137"/>
      <c r="F2316" s="137"/>
      <c r="G2316" s="137"/>
      <c r="H2316" s="137"/>
      <c r="I2316" s="137"/>
      <c r="J2316" s="137"/>
      <c r="K2316" s="137"/>
      <c r="L2316" s="137"/>
      <c r="M2316" s="137"/>
      <c r="N2316" s="137"/>
      <c r="O2316" s="137"/>
      <c r="P2316" s="137"/>
      <c r="Q2316" s="137"/>
      <c r="R2316" s="137"/>
      <c r="S2316" s="137"/>
      <c r="T2316" s="137"/>
      <c r="U2316" s="137"/>
      <c r="V2316" s="137"/>
      <c r="W2316" s="137"/>
    </row>
    <row r="2317" spans="1:23" x14ac:dyDescent="0.25">
      <c r="A2317" s="137"/>
      <c r="B2317" s="137"/>
      <c r="C2317" s="137"/>
      <c r="D2317" s="137"/>
      <c r="E2317" s="137"/>
      <c r="F2317" s="137"/>
      <c r="G2317" s="137"/>
      <c r="H2317" s="137"/>
      <c r="I2317" s="137"/>
      <c r="J2317" s="137"/>
      <c r="K2317" s="137"/>
      <c r="L2317" s="137"/>
      <c r="M2317" s="137"/>
      <c r="N2317" s="137"/>
      <c r="O2317" s="137"/>
      <c r="P2317" s="137"/>
      <c r="Q2317" s="137"/>
      <c r="R2317" s="137"/>
      <c r="S2317" s="137"/>
      <c r="T2317" s="137"/>
      <c r="U2317" s="137"/>
      <c r="V2317" s="137"/>
      <c r="W2317" s="137"/>
    </row>
    <row r="2318" spans="1:23" x14ac:dyDescent="0.25">
      <c r="A2318" s="137"/>
      <c r="B2318" s="137"/>
      <c r="C2318" s="137"/>
      <c r="D2318" s="137"/>
      <c r="E2318" s="137"/>
      <c r="F2318" s="137"/>
      <c r="G2318" s="137"/>
      <c r="H2318" s="137"/>
      <c r="I2318" s="137"/>
      <c r="J2318" s="137"/>
      <c r="K2318" s="137"/>
      <c r="L2318" s="137"/>
      <c r="M2318" s="137"/>
      <c r="N2318" s="137"/>
      <c r="O2318" s="137"/>
      <c r="P2318" s="137"/>
      <c r="Q2318" s="137"/>
      <c r="R2318" s="137"/>
      <c r="S2318" s="137"/>
      <c r="T2318" s="137"/>
      <c r="U2318" s="137"/>
      <c r="V2318" s="137"/>
      <c r="W2318" s="137"/>
    </row>
    <row r="2319" spans="1:23" x14ac:dyDescent="0.25">
      <c r="A2319" s="137"/>
      <c r="B2319" s="137"/>
      <c r="C2319" s="137"/>
      <c r="D2319" s="137"/>
      <c r="E2319" s="137"/>
      <c r="F2319" s="137"/>
      <c r="G2319" s="137"/>
      <c r="H2319" s="137"/>
      <c r="I2319" s="137"/>
      <c r="J2319" s="137"/>
      <c r="K2319" s="137"/>
      <c r="L2319" s="137"/>
      <c r="M2319" s="137"/>
      <c r="N2319" s="137"/>
      <c r="O2319" s="137"/>
      <c r="P2319" s="137"/>
      <c r="Q2319" s="137"/>
      <c r="R2319" s="137"/>
      <c r="S2319" s="137"/>
      <c r="T2319" s="137"/>
      <c r="U2319" s="137"/>
      <c r="V2319" s="137"/>
      <c r="W2319" s="137"/>
    </row>
    <row r="2320" spans="1:23" x14ac:dyDescent="0.25">
      <c r="A2320" s="137"/>
      <c r="B2320" s="137"/>
      <c r="C2320" s="137"/>
      <c r="D2320" s="137"/>
      <c r="E2320" s="137"/>
      <c r="F2320" s="137"/>
      <c r="G2320" s="137"/>
      <c r="H2320" s="137"/>
      <c r="I2320" s="137"/>
      <c r="J2320" s="137"/>
      <c r="K2320" s="137"/>
      <c r="L2320" s="137"/>
      <c r="M2320" s="137"/>
      <c r="N2320" s="137"/>
      <c r="O2320" s="137"/>
      <c r="P2320" s="137"/>
      <c r="Q2320" s="137"/>
      <c r="R2320" s="137"/>
      <c r="S2320" s="137"/>
      <c r="T2320" s="137"/>
      <c r="U2320" s="137"/>
      <c r="V2320" s="137"/>
      <c r="W2320" s="137"/>
    </row>
    <row r="2321" spans="1:23" x14ac:dyDescent="0.25">
      <c r="A2321" s="137"/>
      <c r="B2321" s="137"/>
      <c r="C2321" s="137"/>
      <c r="D2321" s="137"/>
      <c r="E2321" s="137"/>
      <c r="F2321" s="137"/>
      <c r="G2321" s="137"/>
      <c r="H2321" s="137"/>
      <c r="I2321" s="137"/>
      <c r="J2321" s="137"/>
      <c r="K2321" s="137"/>
      <c r="L2321" s="137"/>
      <c r="M2321" s="137"/>
      <c r="N2321" s="137"/>
      <c r="O2321" s="137"/>
      <c r="P2321" s="137"/>
      <c r="Q2321" s="137"/>
      <c r="R2321" s="137"/>
      <c r="S2321" s="137"/>
      <c r="T2321" s="137"/>
      <c r="U2321" s="137"/>
      <c r="V2321" s="137"/>
      <c r="W2321" s="137"/>
    </row>
    <row r="2322" spans="1:23" x14ac:dyDescent="0.25">
      <c r="A2322" s="137"/>
      <c r="B2322" s="137"/>
      <c r="C2322" s="137"/>
      <c r="D2322" s="137"/>
      <c r="E2322" s="137"/>
      <c r="F2322" s="137"/>
      <c r="G2322" s="137"/>
      <c r="H2322" s="137"/>
      <c r="I2322" s="137"/>
      <c r="J2322" s="137"/>
      <c r="K2322" s="137"/>
      <c r="L2322" s="137"/>
      <c r="M2322" s="137"/>
      <c r="N2322" s="137"/>
      <c r="O2322" s="137"/>
      <c r="P2322" s="137"/>
      <c r="Q2322" s="137"/>
      <c r="R2322" s="137"/>
      <c r="S2322" s="137"/>
      <c r="T2322" s="137"/>
      <c r="U2322" s="137"/>
      <c r="V2322" s="137"/>
      <c r="W2322" s="137"/>
    </row>
    <row r="2323" spans="1:23" x14ac:dyDescent="0.25">
      <c r="A2323" s="137"/>
      <c r="B2323" s="137"/>
      <c r="C2323" s="137"/>
      <c r="D2323" s="137"/>
      <c r="E2323" s="137"/>
      <c r="F2323" s="137"/>
      <c r="G2323" s="137"/>
      <c r="H2323" s="137"/>
      <c r="I2323" s="137"/>
      <c r="J2323" s="137"/>
      <c r="K2323" s="137"/>
      <c r="L2323" s="137"/>
      <c r="M2323" s="137"/>
      <c r="N2323" s="137"/>
      <c r="O2323" s="137"/>
      <c r="P2323" s="137"/>
      <c r="Q2323" s="137"/>
      <c r="R2323" s="137"/>
      <c r="S2323" s="137"/>
      <c r="T2323" s="137"/>
      <c r="U2323" s="137"/>
      <c r="V2323" s="137"/>
      <c r="W2323" s="137"/>
    </row>
    <row r="2324" spans="1:23" x14ac:dyDescent="0.25">
      <c r="A2324" s="137"/>
      <c r="B2324" s="137"/>
      <c r="C2324" s="137"/>
      <c r="D2324" s="137"/>
      <c r="E2324" s="137"/>
      <c r="F2324" s="137"/>
      <c r="G2324" s="137"/>
      <c r="H2324" s="137"/>
      <c r="I2324" s="137"/>
      <c r="J2324" s="137"/>
      <c r="K2324" s="137"/>
      <c r="L2324" s="137"/>
      <c r="M2324" s="137"/>
      <c r="N2324" s="137"/>
      <c r="O2324" s="137"/>
      <c r="P2324" s="137"/>
      <c r="Q2324" s="137"/>
      <c r="R2324" s="137"/>
      <c r="S2324" s="137"/>
      <c r="T2324" s="137"/>
      <c r="U2324" s="137"/>
      <c r="V2324" s="137"/>
      <c r="W2324" s="137"/>
    </row>
    <row r="2325" spans="1:23" x14ac:dyDescent="0.25">
      <c r="A2325" s="137"/>
      <c r="B2325" s="137"/>
      <c r="C2325" s="137"/>
      <c r="D2325" s="137"/>
      <c r="E2325" s="137"/>
      <c r="F2325" s="137"/>
      <c r="G2325" s="137"/>
      <c r="H2325" s="137"/>
      <c r="I2325" s="137"/>
      <c r="J2325" s="137"/>
      <c r="K2325" s="137"/>
      <c r="L2325" s="137"/>
      <c r="M2325" s="137"/>
      <c r="N2325" s="137"/>
      <c r="O2325" s="137"/>
      <c r="P2325" s="137"/>
      <c r="Q2325" s="137"/>
      <c r="R2325" s="137"/>
      <c r="S2325" s="137"/>
      <c r="T2325" s="137"/>
      <c r="U2325" s="137"/>
      <c r="V2325" s="137"/>
      <c r="W2325" s="137"/>
    </row>
    <row r="2326" spans="1:23" x14ac:dyDescent="0.25">
      <c r="A2326" s="137"/>
      <c r="B2326" s="137"/>
      <c r="C2326" s="137"/>
      <c r="D2326" s="137"/>
      <c r="E2326" s="137"/>
      <c r="F2326" s="137"/>
      <c r="G2326" s="137"/>
      <c r="H2326" s="137"/>
      <c r="I2326" s="137"/>
      <c r="J2326" s="137"/>
      <c r="K2326" s="137"/>
      <c r="L2326" s="137"/>
      <c r="M2326" s="137"/>
      <c r="N2326" s="137"/>
      <c r="O2326" s="137"/>
      <c r="P2326" s="137"/>
      <c r="Q2326" s="137"/>
      <c r="R2326" s="137"/>
      <c r="S2326" s="137"/>
      <c r="T2326" s="137"/>
      <c r="U2326" s="137"/>
      <c r="V2326" s="137"/>
      <c r="W2326" s="137"/>
    </row>
    <row r="2327" spans="1:23" x14ac:dyDescent="0.25">
      <c r="A2327" s="137"/>
      <c r="B2327" s="137"/>
      <c r="C2327" s="137"/>
      <c r="D2327" s="137"/>
      <c r="E2327" s="137"/>
      <c r="F2327" s="137"/>
      <c r="G2327" s="137"/>
      <c r="H2327" s="137"/>
      <c r="I2327" s="137"/>
      <c r="J2327" s="137"/>
      <c r="K2327" s="137"/>
      <c r="L2327" s="137"/>
      <c r="M2327" s="137"/>
      <c r="N2327" s="137"/>
      <c r="O2327" s="137"/>
      <c r="P2327" s="137"/>
      <c r="Q2327" s="137"/>
      <c r="R2327" s="137"/>
      <c r="S2327" s="137"/>
      <c r="T2327" s="137"/>
      <c r="U2327" s="137"/>
      <c r="V2327" s="137"/>
      <c r="W2327" s="137"/>
    </row>
    <row r="2328" spans="1:23" x14ac:dyDescent="0.25">
      <c r="A2328" s="137"/>
      <c r="B2328" s="137"/>
      <c r="C2328" s="137"/>
      <c r="D2328" s="137"/>
      <c r="E2328" s="137"/>
      <c r="F2328" s="137"/>
      <c r="G2328" s="137"/>
      <c r="H2328" s="137"/>
      <c r="I2328" s="137"/>
      <c r="J2328" s="137"/>
      <c r="K2328" s="137"/>
      <c r="L2328" s="137"/>
      <c r="M2328" s="137"/>
      <c r="N2328" s="137"/>
      <c r="O2328" s="137"/>
      <c r="P2328" s="137"/>
      <c r="Q2328" s="137"/>
      <c r="R2328" s="137"/>
      <c r="S2328" s="137"/>
      <c r="T2328" s="137"/>
      <c r="U2328" s="137"/>
      <c r="V2328" s="137"/>
      <c r="W2328" s="137"/>
    </row>
    <row r="2329" spans="1:23" x14ac:dyDescent="0.25">
      <c r="A2329" s="137"/>
      <c r="B2329" s="137"/>
      <c r="C2329" s="137"/>
      <c r="D2329" s="137"/>
      <c r="E2329" s="137"/>
      <c r="F2329" s="137"/>
      <c r="G2329" s="137"/>
      <c r="H2329" s="137"/>
      <c r="I2329" s="137"/>
      <c r="J2329" s="137"/>
      <c r="K2329" s="137"/>
      <c r="L2329" s="137"/>
      <c r="M2329" s="137"/>
      <c r="N2329" s="137"/>
      <c r="O2329" s="137"/>
      <c r="P2329" s="137"/>
      <c r="Q2329" s="137"/>
      <c r="R2329" s="137"/>
      <c r="S2329" s="137"/>
      <c r="T2329" s="137"/>
      <c r="U2329" s="137"/>
      <c r="V2329" s="137"/>
      <c r="W2329" s="137"/>
    </row>
    <row r="2330" spans="1:23" x14ac:dyDescent="0.25">
      <c r="A2330" s="137"/>
      <c r="B2330" s="137"/>
      <c r="C2330" s="137"/>
      <c r="D2330" s="137"/>
      <c r="E2330" s="137"/>
      <c r="F2330" s="137"/>
      <c r="G2330" s="137"/>
      <c r="H2330" s="137"/>
      <c r="I2330" s="137"/>
      <c r="J2330" s="137"/>
      <c r="K2330" s="137"/>
      <c r="L2330" s="137"/>
      <c r="M2330" s="137"/>
      <c r="N2330" s="137"/>
      <c r="O2330" s="137"/>
      <c r="P2330" s="137"/>
      <c r="Q2330" s="137"/>
      <c r="R2330" s="137"/>
      <c r="S2330" s="137"/>
      <c r="T2330" s="137"/>
      <c r="U2330" s="137"/>
      <c r="V2330" s="137"/>
      <c r="W2330" s="137"/>
    </row>
    <row r="2331" spans="1:23" x14ac:dyDescent="0.25">
      <c r="A2331" s="137"/>
      <c r="B2331" s="137"/>
      <c r="C2331" s="137"/>
      <c r="D2331" s="137"/>
      <c r="E2331" s="137"/>
      <c r="F2331" s="137"/>
      <c r="G2331" s="137"/>
      <c r="H2331" s="137"/>
      <c r="I2331" s="137"/>
      <c r="J2331" s="137"/>
      <c r="K2331" s="137"/>
      <c r="L2331" s="137"/>
      <c r="M2331" s="137"/>
      <c r="N2331" s="137"/>
      <c r="O2331" s="137"/>
      <c r="P2331" s="137"/>
      <c r="Q2331" s="137"/>
      <c r="R2331" s="137"/>
      <c r="S2331" s="137"/>
      <c r="T2331" s="137"/>
      <c r="U2331" s="137"/>
      <c r="V2331" s="137"/>
      <c r="W2331" s="137"/>
    </row>
    <row r="2332" spans="1:23" x14ac:dyDescent="0.25">
      <c r="A2332" s="137"/>
      <c r="B2332" s="137"/>
      <c r="C2332" s="137"/>
      <c r="D2332" s="137"/>
      <c r="E2332" s="137"/>
      <c r="F2332" s="137"/>
      <c r="G2332" s="137"/>
      <c r="H2332" s="137"/>
      <c r="I2332" s="137"/>
      <c r="J2332" s="137"/>
      <c r="K2332" s="137"/>
      <c r="L2332" s="137"/>
      <c r="M2332" s="137"/>
      <c r="N2332" s="137"/>
      <c r="O2332" s="137"/>
      <c r="P2332" s="137"/>
      <c r="Q2332" s="137"/>
      <c r="R2332" s="137"/>
      <c r="S2332" s="137"/>
      <c r="T2332" s="137"/>
      <c r="U2332" s="137"/>
      <c r="V2332" s="137"/>
      <c r="W2332" s="137"/>
    </row>
    <row r="2333" spans="1:23" x14ac:dyDescent="0.25">
      <c r="A2333" s="137"/>
      <c r="B2333" s="137"/>
      <c r="C2333" s="137"/>
      <c r="D2333" s="137"/>
      <c r="E2333" s="137"/>
      <c r="F2333" s="137"/>
      <c r="G2333" s="137"/>
      <c r="H2333" s="137"/>
      <c r="I2333" s="137"/>
      <c r="J2333" s="137"/>
      <c r="K2333" s="137"/>
      <c r="L2333" s="137"/>
      <c r="M2333" s="137"/>
      <c r="N2333" s="137"/>
      <c r="O2333" s="137"/>
      <c r="P2333" s="137"/>
      <c r="Q2333" s="137"/>
      <c r="R2333" s="137"/>
      <c r="S2333" s="137"/>
      <c r="T2333" s="137"/>
      <c r="U2333" s="137"/>
      <c r="V2333" s="137"/>
      <c r="W2333" s="137"/>
    </row>
    <row r="2334" spans="1:23" x14ac:dyDescent="0.25">
      <c r="A2334" s="137"/>
      <c r="B2334" s="137"/>
      <c r="C2334" s="137"/>
      <c r="D2334" s="137"/>
      <c r="E2334" s="137"/>
      <c r="F2334" s="137"/>
      <c r="G2334" s="137"/>
      <c r="H2334" s="137"/>
      <c r="I2334" s="137"/>
      <c r="J2334" s="137"/>
      <c r="K2334" s="137"/>
      <c r="L2334" s="137"/>
      <c r="M2334" s="137"/>
      <c r="N2334" s="137"/>
      <c r="O2334" s="137"/>
      <c r="P2334" s="137"/>
      <c r="Q2334" s="137"/>
      <c r="R2334" s="137"/>
      <c r="S2334" s="137"/>
      <c r="T2334" s="137"/>
      <c r="U2334" s="137"/>
      <c r="V2334" s="137"/>
      <c r="W2334" s="137"/>
    </row>
    <row r="2335" spans="1:23" x14ac:dyDescent="0.25">
      <c r="A2335" s="137"/>
      <c r="B2335" s="137"/>
      <c r="C2335" s="137"/>
      <c r="D2335" s="137"/>
      <c r="E2335" s="137"/>
      <c r="F2335" s="137"/>
      <c r="G2335" s="137"/>
      <c r="H2335" s="137"/>
      <c r="I2335" s="137"/>
      <c r="J2335" s="137"/>
      <c r="K2335" s="137"/>
      <c r="L2335" s="137"/>
      <c r="M2335" s="137"/>
      <c r="N2335" s="137"/>
      <c r="O2335" s="137"/>
      <c r="P2335" s="137"/>
      <c r="Q2335" s="137"/>
      <c r="R2335" s="137"/>
      <c r="S2335" s="137"/>
      <c r="T2335" s="137"/>
      <c r="U2335" s="137"/>
      <c r="V2335" s="137"/>
      <c r="W2335" s="137"/>
    </row>
    <row r="2336" spans="1:23" x14ac:dyDescent="0.25">
      <c r="A2336" s="137"/>
      <c r="B2336" s="137"/>
      <c r="C2336" s="137"/>
      <c r="D2336" s="137"/>
      <c r="E2336" s="137"/>
      <c r="F2336" s="137"/>
      <c r="G2336" s="137"/>
      <c r="H2336" s="137"/>
      <c r="I2336" s="137"/>
      <c r="J2336" s="137"/>
      <c r="K2336" s="137"/>
      <c r="L2336" s="137"/>
      <c r="M2336" s="137"/>
      <c r="N2336" s="137"/>
      <c r="O2336" s="137"/>
      <c r="P2336" s="137"/>
      <c r="Q2336" s="137"/>
      <c r="R2336" s="137"/>
      <c r="S2336" s="137"/>
      <c r="T2336" s="137"/>
      <c r="U2336" s="137"/>
      <c r="V2336" s="137"/>
      <c r="W2336" s="137"/>
    </row>
    <row r="2337" spans="1:23" x14ac:dyDescent="0.25">
      <c r="A2337" s="137"/>
      <c r="B2337" s="137"/>
      <c r="C2337" s="137"/>
      <c r="D2337" s="137"/>
      <c r="E2337" s="137"/>
      <c r="F2337" s="137"/>
      <c r="G2337" s="137"/>
      <c r="H2337" s="137"/>
      <c r="I2337" s="137"/>
      <c r="J2337" s="137"/>
      <c r="K2337" s="137"/>
      <c r="L2337" s="137"/>
      <c r="M2337" s="137"/>
      <c r="N2337" s="137"/>
      <c r="O2337" s="137"/>
      <c r="P2337" s="137"/>
      <c r="Q2337" s="137"/>
      <c r="R2337" s="137"/>
      <c r="S2337" s="137"/>
      <c r="T2337" s="137"/>
      <c r="U2337" s="137"/>
      <c r="V2337" s="137"/>
      <c r="W2337" s="137"/>
    </row>
    <row r="2338" spans="1:23" x14ac:dyDescent="0.25">
      <c r="A2338" s="137"/>
      <c r="B2338" s="137"/>
      <c r="C2338" s="137"/>
      <c r="D2338" s="137"/>
      <c r="E2338" s="137"/>
      <c r="F2338" s="137"/>
      <c r="G2338" s="137"/>
      <c r="H2338" s="137"/>
      <c r="I2338" s="137"/>
      <c r="J2338" s="137"/>
      <c r="K2338" s="137"/>
      <c r="L2338" s="137"/>
      <c r="M2338" s="137"/>
      <c r="N2338" s="137"/>
      <c r="O2338" s="137"/>
      <c r="P2338" s="137"/>
      <c r="Q2338" s="137"/>
      <c r="R2338" s="137"/>
      <c r="S2338" s="137"/>
      <c r="T2338" s="137"/>
      <c r="U2338" s="137"/>
      <c r="V2338" s="137"/>
      <c r="W2338" s="137"/>
    </row>
    <row r="2339" spans="1:23" x14ac:dyDescent="0.25">
      <c r="A2339" s="137"/>
      <c r="B2339" s="137"/>
      <c r="C2339" s="137"/>
      <c r="D2339" s="137"/>
      <c r="E2339" s="137"/>
      <c r="F2339" s="137"/>
      <c r="G2339" s="137"/>
      <c r="H2339" s="137"/>
      <c r="I2339" s="137"/>
      <c r="J2339" s="137"/>
      <c r="K2339" s="137"/>
      <c r="L2339" s="137"/>
      <c r="M2339" s="137"/>
      <c r="N2339" s="137"/>
      <c r="O2339" s="137"/>
      <c r="P2339" s="137"/>
      <c r="Q2339" s="137"/>
      <c r="R2339" s="137"/>
      <c r="S2339" s="137"/>
      <c r="T2339" s="137"/>
      <c r="U2339" s="137"/>
      <c r="V2339" s="137"/>
      <c r="W2339" s="137"/>
    </row>
    <row r="2340" spans="1:23" x14ac:dyDescent="0.25">
      <c r="A2340" s="137"/>
      <c r="B2340" s="137"/>
      <c r="C2340" s="137"/>
      <c r="D2340" s="137"/>
      <c r="E2340" s="137"/>
      <c r="F2340" s="137"/>
      <c r="G2340" s="137"/>
      <c r="H2340" s="137"/>
      <c r="I2340" s="137"/>
      <c r="J2340" s="137"/>
      <c r="K2340" s="137"/>
      <c r="L2340" s="137"/>
      <c r="M2340" s="137"/>
      <c r="N2340" s="137"/>
      <c r="O2340" s="137"/>
      <c r="P2340" s="137"/>
      <c r="Q2340" s="137"/>
      <c r="R2340" s="137"/>
      <c r="S2340" s="137"/>
      <c r="T2340" s="137"/>
      <c r="U2340" s="137"/>
      <c r="V2340" s="137"/>
      <c r="W2340" s="137"/>
    </row>
    <row r="2341" spans="1:23" x14ac:dyDescent="0.25">
      <c r="A2341" s="137"/>
      <c r="B2341" s="137"/>
      <c r="C2341" s="137"/>
      <c r="D2341" s="137"/>
      <c r="E2341" s="137"/>
      <c r="F2341" s="137"/>
      <c r="G2341" s="137"/>
      <c r="H2341" s="137"/>
      <c r="I2341" s="137"/>
      <c r="J2341" s="137"/>
      <c r="K2341" s="137"/>
      <c r="L2341" s="137"/>
      <c r="M2341" s="137"/>
      <c r="N2341" s="137"/>
      <c r="O2341" s="137"/>
      <c r="P2341" s="137"/>
      <c r="Q2341" s="137"/>
      <c r="R2341" s="137"/>
      <c r="S2341" s="137"/>
      <c r="T2341" s="137"/>
      <c r="U2341" s="137"/>
      <c r="V2341" s="137"/>
      <c r="W2341" s="137"/>
    </row>
    <row r="2342" spans="1:23" x14ac:dyDescent="0.25">
      <c r="A2342" s="137"/>
      <c r="B2342" s="137"/>
      <c r="C2342" s="137"/>
      <c r="D2342" s="137"/>
      <c r="E2342" s="137"/>
      <c r="F2342" s="137"/>
      <c r="G2342" s="137"/>
      <c r="H2342" s="137"/>
      <c r="I2342" s="137"/>
      <c r="J2342" s="137"/>
      <c r="K2342" s="137"/>
      <c r="L2342" s="137"/>
      <c r="M2342" s="137"/>
      <c r="N2342" s="137"/>
      <c r="O2342" s="137"/>
      <c r="P2342" s="137"/>
      <c r="Q2342" s="137"/>
      <c r="R2342" s="137"/>
      <c r="S2342" s="137"/>
      <c r="T2342" s="137"/>
      <c r="U2342" s="137"/>
      <c r="V2342" s="137"/>
      <c r="W2342" s="137"/>
    </row>
    <row r="2343" spans="1:23" x14ac:dyDescent="0.25">
      <c r="A2343" s="137"/>
      <c r="B2343" s="137"/>
      <c r="C2343" s="137"/>
      <c r="D2343" s="137"/>
      <c r="E2343" s="137"/>
      <c r="F2343" s="137"/>
      <c r="G2343" s="137"/>
      <c r="H2343" s="137"/>
      <c r="I2343" s="137"/>
      <c r="J2343" s="137"/>
      <c r="K2343" s="137"/>
      <c r="L2343" s="137"/>
      <c r="M2343" s="137"/>
      <c r="N2343" s="137"/>
      <c r="O2343" s="137"/>
      <c r="P2343" s="137"/>
      <c r="Q2343" s="137"/>
      <c r="R2343" s="137"/>
      <c r="S2343" s="137"/>
      <c r="T2343" s="137"/>
      <c r="U2343" s="137"/>
      <c r="V2343" s="137"/>
      <c r="W2343" s="137"/>
    </row>
    <row r="2344" spans="1:23" x14ac:dyDescent="0.25">
      <c r="A2344" s="137"/>
      <c r="B2344" s="137"/>
      <c r="C2344" s="137"/>
      <c r="D2344" s="137"/>
      <c r="E2344" s="137"/>
      <c r="F2344" s="137"/>
      <c r="G2344" s="137"/>
      <c r="H2344" s="137"/>
      <c r="I2344" s="137"/>
      <c r="J2344" s="137"/>
      <c r="K2344" s="137"/>
      <c r="L2344" s="137"/>
      <c r="M2344" s="137"/>
      <c r="N2344" s="137"/>
      <c r="O2344" s="137"/>
      <c r="P2344" s="137"/>
      <c r="Q2344" s="137"/>
      <c r="R2344" s="137"/>
      <c r="S2344" s="137"/>
      <c r="T2344" s="137"/>
      <c r="U2344" s="137"/>
      <c r="V2344" s="137"/>
      <c r="W2344" s="137"/>
    </row>
    <row r="2345" spans="1:23" x14ac:dyDescent="0.25">
      <c r="A2345" s="137"/>
      <c r="B2345" s="137"/>
      <c r="C2345" s="137"/>
      <c r="D2345" s="137"/>
      <c r="E2345" s="137"/>
      <c r="F2345" s="137"/>
      <c r="G2345" s="137"/>
      <c r="H2345" s="137"/>
      <c r="I2345" s="137"/>
      <c r="J2345" s="137"/>
      <c r="K2345" s="137"/>
      <c r="L2345" s="137"/>
      <c r="M2345" s="137"/>
      <c r="N2345" s="137"/>
      <c r="O2345" s="137"/>
      <c r="P2345" s="137"/>
      <c r="Q2345" s="137"/>
      <c r="R2345" s="137"/>
      <c r="S2345" s="137"/>
      <c r="T2345" s="137"/>
      <c r="U2345" s="137"/>
      <c r="V2345" s="137"/>
      <c r="W2345" s="137"/>
    </row>
    <row r="2346" spans="1:23" x14ac:dyDescent="0.25">
      <c r="A2346" s="137"/>
      <c r="B2346" s="137"/>
      <c r="C2346" s="137"/>
      <c r="D2346" s="137"/>
      <c r="E2346" s="137"/>
      <c r="F2346" s="137"/>
      <c r="G2346" s="137"/>
      <c r="H2346" s="137"/>
      <c r="I2346" s="137"/>
      <c r="J2346" s="137"/>
      <c r="K2346" s="137"/>
      <c r="L2346" s="137"/>
      <c r="M2346" s="137"/>
      <c r="N2346" s="137"/>
      <c r="O2346" s="137"/>
      <c r="P2346" s="137"/>
      <c r="Q2346" s="137"/>
      <c r="R2346" s="137"/>
      <c r="S2346" s="137"/>
      <c r="T2346" s="137"/>
      <c r="U2346" s="137"/>
      <c r="V2346" s="137"/>
      <c r="W2346" s="137"/>
    </row>
    <row r="2347" spans="1:23" x14ac:dyDescent="0.25">
      <c r="A2347" s="137"/>
      <c r="B2347" s="137"/>
      <c r="C2347" s="137"/>
      <c r="D2347" s="137"/>
      <c r="E2347" s="137"/>
      <c r="F2347" s="137"/>
      <c r="G2347" s="137"/>
      <c r="H2347" s="137"/>
      <c r="I2347" s="137"/>
      <c r="J2347" s="137"/>
      <c r="K2347" s="137"/>
      <c r="L2347" s="137"/>
      <c r="M2347" s="137"/>
      <c r="N2347" s="137"/>
      <c r="O2347" s="137"/>
      <c r="P2347" s="137"/>
      <c r="Q2347" s="137"/>
      <c r="R2347" s="137"/>
      <c r="S2347" s="137"/>
      <c r="T2347" s="137"/>
      <c r="U2347" s="137"/>
      <c r="V2347" s="137"/>
      <c r="W2347" s="137"/>
    </row>
    <row r="2348" spans="1:23" x14ac:dyDescent="0.25">
      <c r="A2348" s="137"/>
      <c r="B2348" s="137"/>
      <c r="C2348" s="137"/>
      <c r="D2348" s="137"/>
      <c r="E2348" s="137"/>
      <c r="F2348" s="137"/>
      <c r="G2348" s="137"/>
      <c r="H2348" s="137"/>
      <c r="I2348" s="137"/>
      <c r="J2348" s="137"/>
      <c r="K2348" s="137"/>
      <c r="L2348" s="137"/>
      <c r="M2348" s="137"/>
      <c r="N2348" s="137"/>
      <c r="O2348" s="137"/>
      <c r="P2348" s="137"/>
      <c r="Q2348" s="137"/>
      <c r="R2348" s="137"/>
      <c r="S2348" s="137"/>
      <c r="T2348" s="137"/>
      <c r="U2348" s="137"/>
      <c r="V2348" s="137"/>
      <c r="W2348" s="137"/>
    </row>
    <row r="2349" spans="1:23" x14ac:dyDescent="0.25">
      <c r="A2349" s="137"/>
      <c r="B2349" s="137"/>
      <c r="C2349" s="137"/>
      <c r="D2349" s="137"/>
      <c r="E2349" s="137"/>
      <c r="F2349" s="137"/>
      <c r="G2349" s="137"/>
      <c r="H2349" s="137"/>
      <c r="I2349" s="137"/>
      <c r="J2349" s="137"/>
      <c r="K2349" s="137"/>
      <c r="L2349" s="137"/>
      <c r="M2349" s="137"/>
      <c r="N2349" s="137"/>
      <c r="O2349" s="137"/>
      <c r="P2349" s="137"/>
      <c r="Q2349" s="137"/>
      <c r="R2349" s="137"/>
      <c r="S2349" s="137"/>
      <c r="T2349" s="137"/>
      <c r="U2349" s="137"/>
      <c r="V2349" s="137"/>
      <c r="W2349" s="137"/>
    </row>
    <row r="2350" spans="1:23" x14ac:dyDescent="0.25">
      <c r="A2350" s="137"/>
      <c r="B2350" s="137"/>
      <c r="C2350" s="137"/>
      <c r="D2350" s="137"/>
      <c r="E2350" s="137"/>
      <c r="F2350" s="137"/>
      <c r="G2350" s="137"/>
      <c r="H2350" s="137"/>
      <c r="I2350" s="137"/>
      <c r="J2350" s="137"/>
      <c r="K2350" s="137"/>
      <c r="L2350" s="137"/>
      <c r="M2350" s="137"/>
      <c r="N2350" s="137"/>
      <c r="O2350" s="137"/>
      <c r="P2350" s="137"/>
      <c r="Q2350" s="137"/>
      <c r="R2350" s="137"/>
      <c r="S2350" s="137"/>
      <c r="T2350" s="137"/>
      <c r="U2350" s="137"/>
      <c r="V2350" s="137"/>
      <c r="W2350" s="137"/>
    </row>
    <row r="2351" spans="1:23" x14ac:dyDescent="0.25">
      <c r="A2351" s="137"/>
      <c r="B2351" s="137"/>
      <c r="C2351" s="137"/>
      <c r="D2351" s="137"/>
      <c r="E2351" s="137"/>
      <c r="F2351" s="137"/>
      <c r="G2351" s="137"/>
      <c r="H2351" s="137"/>
      <c r="I2351" s="137"/>
      <c r="J2351" s="137"/>
      <c r="K2351" s="137"/>
      <c r="L2351" s="137"/>
      <c r="M2351" s="137"/>
      <c r="N2351" s="137"/>
      <c r="O2351" s="137"/>
      <c r="P2351" s="137"/>
      <c r="Q2351" s="137"/>
      <c r="R2351" s="137"/>
      <c r="S2351" s="137"/>
      <c r="T2351" s="137"/>
      <c r="U2351" s="137"/>
      <c r="V2351" s="137"/>
      <c r="W2351" s="137"/>
    </row>
    <row r="2352" spans="1:23" x14ac:dyDescent="0.25">
      <c r="A2352" s="137"/>
      <c r="B2352" s="137"/>
      <c r="C2352" s="137"/>
      <c r="D2352" s="137"/>
      <c r="E2352" s="137"/>
      <c r="F2352" s="137"/>
      <c r="G2352" s="137"/>
      <c r="H2352" s="137"/>
      <c r="I2352" s="137"/>
      <c r="J2352" s="137"/>
      <c r="K2352" s="137"/>
      <c r="L2352" s="137"/>
      <c r="M2352" s="137"/>
      <c r="N2352" s="137"/>
      <c r="O2352" s="137"/>
      <c r="P2352" s="137"/>
      <c r="Q2352" s="137"/>
      <c r="R2352" s="137"/>
      <c r="S2352" s="137"/>
      <c r="T2352" s="137"/>
      <c r="U2352" s="137"/>
      <c r="V2352" s="137"/>
      <c r="W2352" s="137"/>
    </row>
    <row r="2353" spans="1:23" x14ac:dyDescent="0.25">
      <c r="A2353" s="137"/>
      <c r="B2353" s="137"/>
      <c r="C2353" s="137"/>
      <c r="D2353" s="137"/>
      <c r="E2353" s="137"/>
      <c r="F2353" s="137"/>
      <c r="G2353" s="137"/>
      <c r="H2353" s="137"/>
      <c r="I2353" s="137"/>
      <c r="J2353" s="137"/>
      <c r="K2353" s="137"/>
      <c r="L2353" s="137"/>
      <c r="M2353" s="137"/>
      <c r="N2353" s="137"/>
      <c r="O2353" s="137"/>
      <c r="P2353" s="137"/>
      <c r="Q2353" s="137"/>
      <c r="R2353" s="137"/>
      <c r="S2353" s="137"/>
      <c r="T2353" s="137"/>
      <c r="U2353" s="137"/>
      <c r="V2353" s="137"/>
      <c r="W2353" s="137"/>
    </row>
    <row r="2354" spans="1:23" x14ac:dyDescent="0.25">
      <c r="A2354" s="137"/>
      <c r="B2354" s="137"/>
      <c r="C2354" s="137"/>
      <c r="D2354" s="137"/>
      <c r="E2354" s="137"/>
      <c r="F2354" s="137"/>
      <c r="G2354" s="137"/>
      <c r="H2354" s="137"/>
      <c r="I2354" s="137"/>
      <c r="J2354" s="137"/>
      <c r="K2354" s="137"/>
      <c r="L2354" s="137"/>
      <c r="M2354" s="137"/>
      <c r="N2354" s="137"/>
      <c r="O2354" s="137"/>
      <c r="P2354" s="137"/>
      <c r="Q2354" s="137"/>
      <c r="R2354" s="137"/>
      <c r="S2354" s="137"/>
      <c r="T2354" s="137"/>
      <c r="U2354" s="137"/>
      <c r="V2354" s="137"/>
      <c r="W2354" s="137"/>
    </row>
    <row r="2355" spans="1:23" x14ac:dyDescent="0.25">
      <c r="A2355" s="137"/>
      <c r="B2355" s="137"/>
      <c r="C2355" s="137"/>
      <c r="D2355" s="137"/>
      <c r="E2355" s="137"/>
      <c r="F2355" s="137"/>
      <c r="G2355" s="137"/>
      <c r="H2355" s="137"/>
      <c r="I2355" s="137"/>
      <c r="J2355" s="137"/>
      <c r="K2355" s="137"/>
      <c r="L2355" s="137"/>
      <c r="M2355" s="137"/>
      <c r="N2355" s="137"/>
      <c r="O2355" s="137"/>
      <c r="P2355" s="137"/>
      <c r="Q2355" s="137"/>
      <c r="R2355" s="137"/>
      <c r="S2355" s="137"/>
      <c r="T2355" s="137"/>
      <c r="U2355" s="137"/>
      <c r="V2355" s="137"/>
      <c r="W2355" s="137"/>
    </row>
    <row r="2356" spans="1:23" x14ac:dyDescent="0.25">
      <c r="A2356" s="137"/>
      <c r="B2356" s="137"/>
      <c r="C2356" s="137"/>
      <c r="D2356" s="137"/>
      <c r="E2356" s="137"/>
      <c r="F2356" s="137"/>
      <c r="G2356" s="137"/>
      <c r="H2356" s="137"/>
      <c r="I2356" s="137"/>
      <c r="J2356" s="137"/>
      <c r="K2356" s="137"/>
      <c r="L2356" s="137"/>
      <c r="M2356" s="137"/>
      <c r="N2356" s="137"/>
      <c r="O2356" s="137"/>
      <c r="P2356" s="137"/>
      <c r="Q2356" s="137"/>
      <c r="R2356" s="137"/>
      <c r="S2356" s="137"/>
      <c r="T2356" s="137"/>
      <c r="U2356" s="137"/>
      <c r="V2356" s="137"/>
      <c r="W2356" s="137"/>
    </row>
    <row r="2357" spans="1:23" x14ac:dyDescent="0.25">
      <c r="A2357" s="137"/>
      <c r="B2357" s="137"/>
      <c r="C2357" s="137"/>
      <c r="D2357" s="137"/>
      <c r="E2357" s="137"/>
      <c r="F2357" s="137"/>
      <c r="G2357" s="137"/>
      <c r="H2357" s="137"/>
      <c r="I2357" s="137"/>
      <c r="J2357" s="137"/>
      <c r="K2357" s="137"/>
      <c r="L2357" s="137"/>
      <c r="M2357" s="137"/>
      <c r="N2357" s="137"/>
      <c r="O2357" s="137"/>
      <c r="P2357" s="137"/>
      <c r="Q2357" s="137"/>
      <c r="R2357" s="137"/>
      <c r="S2357" s="137"/>
      <c r="T2357" s="137"/>
      <c r="U2357" s="137"/>
      <c r="V2357" s="137"/>
      <c r="W2357" s="137"/>
    </row>
    <row r="2358" spans="1:23" x14ac:dyDescent="0.25">
      <c r="A2358" s="137"/>
      <c r="B2358" s="137"/>
      <c r="C2358" s="137"/>
      <c r="D2358" s="137"/>
      <c r="E2358" s="137"/>
      <c r="F2358" s="137"/>
      <c r="G2358" s="137"/>
      <c r="H2358" s="137"/>
      <c r="I2358" s="137"/>
      <c r="J2358" s="137"/>
      <c r="K2358" s="137"/>
      <c r="L2358" s="137"/>
      <c r="M2358" s="137"/>
      <c r="N2358" s="137"/>
      <c r="O2358" s="137"/>
      <c r="P2358" s="137"/>
      <c r="Q2358" s="137"/>
      <c r="R2358" s="137"/>
      <c r="S2358" s="137"/>
      <c r="T2358" s="137"/>
      <c r="U2358" s="137"/>
      <c r="V2358" s="137"/>
      <c r="W2358" s="137"/>
    </row>
    <row r="2359" spans="1:23" x14ac:dyDescent="0.25">
      <c r="A2359" s="137"/>
      <c r="B2359" s="137"/>
      <c r="C2359" s="137"/>
      <c r="D2359" s="137"/>
      <c r="E2359" s="137"/>
      <c r="F2359" s="137"/>
      <c r="G2359" s="137"/>
      <c r="H2359" s="137"/>
      <c r="I2359" s="137"/>
      <c r="J2359" s="137"/>
      <c r="K2359" s="137"/>
      <c r="L2359" s="137"/>
      <c r="M2359" s="137"/>
      <c r="N2359" s="137"/>
      <c r="O2359" s="137"/>
      <c r="P2359" s="137"/>
      <c r="Q2359" s="137"/>
      <c r="R2359" s="137"/>
      <c r="S2359" s="137"/>
      <c r="T2359" s="137"/>
      <c r="U2359" s="137"/>
      <c r="V2359" s="137"/>
      <c r="W2359" s="137"/>
    </row>
    <row r="2360" spans="1:23" x14ac:dyDescent="0.25">
      <c r="A2360" s="137"/>
      <c r="B2360" s="137"/>
      <c r="C2360" s="137"/>
      <c r="D2360" s="137"/>
      <c r="E2360" s="137"/>
      <c r="F2360" s="137"/>
      <c r="G2360" s="137"/>
      <c r="H2360" s="137"/>
      <c r="I2360" s="137"/>
      <c r="J2360" s="137"/>
      <c r="K2360" s="137"/>
      <c r="L2360" s="137"/>
      <c r="M2360" s="137"/>
      <c r="N2360" s="137"/>
      <c r="O2360" s="137"/>
      <c r="P2360" s="137"/>
      <c r="Q2360" s="137"/>
      <c r="R2360" s="137"/>
      <c r="S2360" s="137"/>
      <c r="T2360" s="137"/>
      <c r="U2360" s="137"/>
      <c r="V2360" s="137"/>
      <c r="W2360" s="137"/>
    </row>
    <row r="2361" spans="1:23" x14ac:dyDescent="0.25">
      <c r="A2361" s="137"/>
      <c r="B2361" s="137"/>
      <c r="C2361" s="137"/>
      <c r="D2361" s="137"/>
      <c r="E2361" s="137"/>
      <c r="F2361" s="137"/>
      <c r="G2361" s="137"/>
      <c r="H2361" s="137"/>
      <c r="I2361" s="137"/>
      <c r="J2361" s="137"/>
      <c r="K2361" s="137"/>
      <c r="L2361" s="137"/>
      <c r="M2361" s="137"/>
      <c r="N2361" s="137"/>
      <c r="O2361" s="137"/>
      <c r="P2361" s="137"/>
      <c r="Q2361" s="137"/>
      <c r="R2361" s="137"/>
      <c r="S2361" s="137"/>
      <c r="T2361" s="137"/>
      <c r="U2361" s="137"/>
      <c r="V2361" s="137"/>
      <c r="W2361" s="137"/>
    </row>
    <row r="2362" spans="1:23" x14ac:dyDescent="0.25">
      <c r="A2362" s="137"/>
      <c r="B2362" s="137"/>
      <c r="C2362" s="137"/>
      <c r="D2362" s="137"/>
      <c r="E2362" s="137"/>
      <c r="F2362" s="137"/>
      <c r="G2362" s="137"/>
      <c r="H2362" s="137"/>
      <c r="I2362" s="137"/>
      <c r="J2362" s="137"/>
      <c r="K2362" s="137"/>
      <c r="L2362" s="137"/>
      <c r="M2362" s="137"/>
      <c r="N2362" s="137"/>
      <c r="O2362" s="137"/>
      <c r="P2362" s="137"/>
      <c r="Q2362" s="137"/>
      <c r="R2362" s="137"/>
      <c r="S2362" s="137"/>
      <c r="T2362" s="137"/>
      <c r="U2362" s="137"/>
      <c r="V2362" s="137"/>
      <c r="W2362" s="137"/>
    </row>
    <row r="2363" spans="1:23" x14ac:dyDescent="0.25">
      <c r="A2363" s="137"/>
      <c r="B2363" s="137"/>
      <c r="C2363" s="137"/>
      <c r="D2363" s="137"/>
      <c r="E2363" s="137"/>
      <c r="F2363" s="137"/>
      <c r="G2363" s="137"/>
      <c r="H2363" s="137"/>
      <c r="I2363" s="137"/>
      <c r="J2363" s="137"/>
      <c r="K2363" s="137"/>
      <c r="L2363" s="137"/>
      <c r="M2363" s="137"/>
      <c r="N2363" s="137"/>
      <c r="O2363" s="137"/>
      <c r="P2363" s="137"/>
      <c r="Q2363" s="137"/>
      <c r="R2363" s="137"/>
      <c r="S2363" s="137"/>
      <c r="T2363" s="137"/>
      <c r="U2363" s="137"/>
      <c r="V2363" s="137"/>
      <c r="W2363" s="137"/>
    </row>
    <row r="2364" spans="1:23" x14ac:dyDescent="0.25">
      <c r="A2364" s="137"/>
      <c r="B2364" s="137"/>
      <c r="C2364" s="137"/>
      <c r="D2364" s="137"/>
      <c r="E2364" s="137"/>
      <c r="F2364" s="137"/>
      <c r="G2364" s="137"/>
      <c r="H2364" s="137"/>
      <c r="I2364" s="137"/>
      <c r="J2364" s="137"/>
      <c r="K2364" s="137"/>
      <c r="L2364" s="137"/>
      <c r="M2364" s="137"/>
      <c r="N2364" s="137"/>
      <c r="O2364" s="137"/>
      <c r="P2364" s="137"/>
      <c r="Q2364" s="137"/>
      <c r="R2364" s="137"/>
      <c r="S2364" s="137"/>
      <c r="T2364" s="137"/>
      <c r="U2364" s="137"/>
      <c r="V2364" s="137"/>
      <c r="W2364" s="137"/>
    </row>
    <row r="2365" spans="1:23" x14ac:dyDescent="0.25">
      <c r="A2365" s="137"/>
      <c r="B2365" s="137"/>
      <c r="C2365" s="137"/>
      <c r="D2365" s="137"/>
      <c r="E2365" s="137"/>
      <c r="F2365" s="137"/>
      <c r="G2365" s="137"/>
      <c r="H2365" s="137"/>
      <c r="I2365" s="137"/>
      <c r="J2365" s="137"/>
      <c r="K2365" s="137"/>
      <c r="L2365" s="137"/>
      <c r="M2365" s="137"/>
      <c r="N2365" s="137"/>
      <c r="O2365" s="137"/>
      <c r="P2365" s="137"/>
      <c r="Q2365" s="137"/>
      <c r="R2365" s="137"/>
      <c r="S2365" s="137"/>
      <c r="T2365" s="137"/>
      <c r="U2365" s="137"/>
      <c r="V2365" s="137"/>
      <c r="W2365" s="137"/>
    </row>
    <row r="2366" spans="1:23" x14ac:dyDescent="0.25">
      <c r="A2366" s="137"/>
      <c r="B2366" s="137"/>
      <c r="C2366" s="137"/>
      <c r="D2366" s="137"/>
      <c r="E2366" s="137"/>
      <c r="F2366" s="137"/>
      <c r="G2366" s="137"/>
      <c r="H2366" s="137"/>
      <c r="I2366" s="137"/>
      <c r="J2366" s="137"/>
      <c r="K2366" s="137"/>
      <c r="L2366" s="137"/>
      <c r="M2366" s="137"/>
      <c r="N2366" s="137"/>
      <c r="O2366" s="137"/>
      <c r="P2366" s="137"/>
      <c r="Q2366" s="137"/>
      <c r="R2366" s="137"/>
      <c r="S2366" s="137"/>
      <c r="T2366" s="137"/>
      <c r="U2366" s="137"/>
      <c r="V2366" s="137"/>
      <c r="W2366" s="137"/>
    </row>
    <row r="2367" spans="1:23" x14ac:dyDescent="0.25">
      <c r="A2367" s="137"/>
      <c r="B2367" s="137"/>
      <c r="C2367" s="137"/>
      <c r="D2367" s="137"/>
      <c r="E2367" s="137"/>
      <c r="F2367" s="137"/>
      <c r="G2367" s="137"/>
      <c r="H2367" s="137"/>
      <c r="I2367" s="137"/>
      <c r="J2367" s="137"/>
      <c r="K2367" s="137"/>
      <c r="L2367" s="137"/>
      <c r="M2367" s="137"/>
      <c r="N2367" s="137"/>
      <c r="O2367" s="137"/>
      <c r="P2367" s="137"/>
      <c r="Q2367" s="137"/>
      <c r="R2367" s="137"/>
      <c r="S2367" s="137"/>
      <c r="T2367" s="137"/>
      <c r="U2367" s="137"/>
      <c r="V2367" s="137"/>
      <c r="W2367" s="137"/>
    </row>
    <row r="2368" spans="1:23" x14ac:dyDescent="0.25">
      <c r="A2368" s="137"/>
      <c r="B2368" s="137"/>
      <c r="C2368" s="137"/>
      <c r="D2368" s="137"/>
      <c r="E2368" s="137"/>
      <c r="F2368" s="137"/>
      <c r="G2368" s="137"/>
      <c r="H2368" s="137"/>
      <c r="I2368" s="137"/>
      <c r="J2368" s="137"/>
      <c r="K2368" s="137"/>
      <c r="L2368" s="137"/>
      <c r="M2368" s="137"/>
      <c r="N2368" s="137"/>
      <c r="O2368" s="137"/>
      <c r="P2368" s="137"/>
      <c r="Q2368" s="137"/>
      <c r="R2368" s="137"/>
      <c r="S2368" s="137"/>
      <c r="T2368" s="137"/>
      <c r="U2368" s="137"/>
      <c r="V2368" s="137"/>
      <c r="W2368" s="137"/>
    </row>
    <row r="2369" spans="1:23" x14ac:dyDescent="0.25">
      <c r="A2369" s="137"/>
      <c r="B2369" s="137"/>
      <c r="C2369" s="137"/>
      <c r="D2369" s="137"/>
      <c r="E2369" s="137"/>
      <c r="F2369" s="137"/>
      <c r="G2369" s="137"/>
      <c r="H2369" s="137"/>
      <c r="I2369" s="137"/>
      <c r="J2369" s="137"/>
      <c r="K2369" s="137"/>
      <c r="L2369" s="137"/>
      <c r="M2369" s="137"/>
      <c r="N2369" s="137"/>
      <c r="O2369" s="137"/>
      <c r="P2369" s="137"/>
      <c r="Q2369" s="137"/>
      <c r="R2369" s="137"/>
      <c r="S2369" s="137"/>
      <c r="T2369" s="137"/>
      <c r="U2369" s="137"/>
      <c r="V2369" s="137"/>
      <c r="W2369" s="137"/>
    </row>
    <row r="2370" spans="1:23" x14ac:dyDescent="0.25">
      <c r="A2370" s="137"/>
      <c r="B2370" s="137"/>
      <c r="C2370" s="137"/>
      <c r="D2370" s="137"/>
      <c r="E2370" s="137"/>
      <c r="F2370" s="137"/>
      <c r="G2370" s="137"/>
      <c r="H2370" s="137"/>
      <c r="I2370" s="137"/>
      <c r="J2370" s="137"/>
      <c r="K2370" s="137"/>
      <c r="L2370" s="137"/>
      <c r="M2370" s="137"/>
      <c r="N2370" s="137"/>
      <c r="O2370" s="137"/>
      <c r="P2370" s="137"/>
      <c r="Q2370" s="137"/>
      <c r="R2370" s="137"/>
      <c r="S2370" s="137"/>
      <c r="T2370" s="137"/>
      <c r="U2370" s="137"/>
      <c r="V2370" s="137"/>
      <c r="W2370" s="137"/>
    </row>
    <row r="2371" spans="1:23" x14ac:dyDescent="0.25">
      <c r="A2371" s="137"/>
      <c r="B2371" s="137"/>
      <c r="C2371" s="137"/>
      <c r="D2371" s="137"/>
      <c r="E2371" s="137"/>
      <c r="F2371" s="137"/>
      <c r="G2371" s="137"/>
      <c r="H2371" s="137"/>
      <c r="I2371" s="137"/>
      <c r="J2371" s="137"/>
      <c r="K2371" s="137"/>
      <c r="L2371" s="137"/>
      <c r="M2371" s="137"/>
      <c r="N2371" s="137"/>
      <c r="O2371" s="137"/>
      <c r="P2371" s="137"/>
      <c r="Q2371" s="137"/>
      <c r="R2371" s="137"/>
      <c r="S2371" s="137"/>
      <c r="T2371" s="137"/>
      <c r="U2371" s="137"/>
      <c r="V2371" s="137"/>
      <c r="W2371" s="137"/>
    </row>
    <row r="2372" spans="1:23" x14ac:dyDescent="0.25">
      <c r="A2372" s="137"/>
      <c r="B2372" s="137"/>
      <c r="C2372" s="137"/>
      <c r="D2372" s="137"/>
      <c r="E2372" s="137"/>
      <c r="F2372" s="137"/>
      <c r="G2372" s="137"/>
      <c r="H2372" s="137"/>
      <c r="I2372" s="137"/>
      <c r="J2372" s="137"/>
      <c r="K2372" s="137"/>
      <c r="L2372" s="137"/>
      <c r="M2372" s="137"/>
      <c r="N2372" s="137"/>
      <c r="O2372" s="137"/>
      <c r="P2372" s="137"/>
      <c r="Q2372" s="137"/>
      <c r="R2372" s="137"/>
      <c r="S2372" s="137"/>
      <c r="T2372" s="137"/>
      <c r="U2372" s="137"/>
      <c r="V2372" s="137"/>
      <c r="W2372" s="137"/>
    </row>
    <row r="2373" spans="1:23" x14ac:dyDescent="0.25">
      <c r="A2373" s="137"/>
      <c r="B2373" s="137"/>
      <c r="C2373" s="137"/>
      <c r="D2373" s="137"/>
      <c r="E2373" s="137"/>
      <c r="F2373" s="137"/>
      <c r="G2373" s="137"/>
      <c r="H2373" s="137"/>
      <c r="I2373" s="137"/>
      <c r="J2373" s="137"/>
      <c r="K2373" s="137"/>
      <c r="L2373" s="137"/>
      <c r="M2373" s="137"/>
      <c r="N2373" s="137"/>
      <c r="O2373" s="137"/>
      <c r="P2373" s="137"/>
      <c r="Q2373" s="137"/>
      <c r="R2373" s="137"/>
      <c r="S2373" s="137"/>
      <c r="T2373" s="137"/>
      <c r="U2373" s="137"/>
      <c r="V2373" s="137"/>
      <c r="W2373" s="137"/>
    </row>
    <row r="2374" spans="1:23" x14ac:dyDescent="0.25">
      <c r="A2374" s="137"/>
      <c r="B2374" s="137"/>
      <c r="C2374" s="137"/>
      <c r="D2374" s="137"/>
      <c r="E2374" s="137"/>
      <c r="F2374" s="137"/>
      <c r="G2374" s="137"/>
      <c r="H2374" s="137"/>
      <c r="I2374" s="137"/>
      <c r="J2374" s="137"/>
      <c r="K2374" s="137"/>
      <c r="L2374" s="137"/>
      <c r="M2374" s="137"/>
      <c r="N2374" s="137"/>
      <c r="O2374" s="137"/>
      <c r="P2374" s="137"/>
      <c r="Q2374" s="137"/>
      <c r="R2374" s="137"/>
      <c r="S2374" s="137"/>
      <c r="T2374" s="137"/>
      <c r="U2374" s="137"/>
      <c r="V2374" s="137"/>
      <c r="W2374" s="137"/>
    </row>
    <row r="2375" spans="1:23" x14ac:dyDescent="0.25">
      <c r="A2375" s="137"/>
      <c r="B2375" s="137"/>
      <c r="C2375" s="137"/>
      <c r="D2375" s="137"/>
      <c r="E2375" s="137"/>
      <c r="F2375" s="137"/>
      <c r="G2375" s="137"/>
      <c r="H2375" s="137"/>
      <c r="I2375" s="137"/>
      <c r="J2375" s="137"/>
      <c r="K2375" s="137"/>
      <c r="L2375" s="137"/>
      <c r="M2375" s="137"/>
      <c r="N2375" s="137"/>
      <c r="O2375" s="137"/>
      <c r="P2375" s="137"/>
      <c r="Q2375" s="137"/>
      <c r="R2375" s="137"/>
      <c r="S2375" s="137"/>
      <c r="T2375" s="137"/>
      <c r="U2375" s="137"/>
      <c r="V2375" s="137"/>
      <c r="W2375" s="137"/>
    </row>
    <row r="2376" spans="1:23" x14ac:dyDescent="0.25">
      <c r="A2376" s="137"/>
      <c r="B2376" s="137"/>
      <c r="C2376" s="137"/>
      <c r="D2376" s="137"/>
      <c r="E2376" s="137"/>
      <c r="F2376" s="137"/>
      <c r="G2376" s="137"/>
      <c r="H2376" s="137"/>
      <c r="I2376" s="137"/>
      <c r="J2376" s="137"/>
      <c r="K2376" s="137"/>
      <c r="L2376" s="137"/>
      <c r="M2376" s="137"/>
      <c r="N2376" s="137"/>
      <c r="O2376" s="137"/>
      <c r="P2376" s="137"/>
      <c r="Q2376" s="137"/>
      <c r="R2376" s="137"/>
      <c r="S2376" s="137"/>
      <c r="T2376" s="137"/>
      <c r="U2376" s="137"/>
      <c r="V2376" s="137"/>
      <c r="W2376" s="137"/>
    </row>
    <row r="2377" spans="1:23" x14ac:dyDescent="0.25">
      <c r="A2377" s="137"/>
      <c r="B2377" s="137"/>
      <c r="C2377" s="137"/>
      <c r="D2377" s="137"/>
      <c r="E2377" s="137"/>
      <c r="F2377" s="137"/>
      <c r="G2377" s="137"/>
      <c r="H2377" s="137"/>
      <c r="I2377" s="137"/>
      <c r="J2377" s="137"/>
      <c r="K2377" s="137"/>
      <c r="L2377" s="137"/>
      <c r="M2377" s="137"/>
      <c r="N2377" s="137"/>
      <c r="O2377" s="137"/>
      <c r="P2377" s="137"/>
      <c r="Q2377" s="137"/>
      <c r="R2377" s="137"/>
      <c r="S2377" s="137"/>
      <c r="T2377" s="137"/>
      <c r="U2377" s="137"/>
      <c r="V2377" s="137"/>
      <c r="W2377" s="137"/>
    </row>
    <row r="2378" spans="1:23" x14ac:dyDescent="0.25">
      <c r="A2378" s="137"/>
      <c r="B2378" s="137"/>
      <c r="C2378" s="137"/>
      <c r="D2378" s="137"/>
      <c r="E2378" s="137"/>
      <c r="F2378" s="137"/>
      <c r="G2378" s="137"/>
      <c r="H2378" s="137"/>
      <c r="I2378" s="137"/>
      <c r="J2378" s="137"/>
      <c r="K2378" s="137"/>
      <c r="L2378" s="137"/>
      <c r="M2378" s="137"/>
      <c r="N2378" s="137"/>
      <c r="O2378" s="137"/>
      <c r="P2378" s="137"/>
      <c r="Q2378" s="137"/>
      <c r="R2378" s="137"/>
      <c r="S2378" s="137"/>
      <c r="T2378" s="137"/>
      <c r="U2378" s="137"/>
      <c r="V2378" s="137"/>
      <c r="W2378" s="137"/>
    </row>
    <row r="2379" spans="1:23" x14ac:dyDescent="0.25">
      <c r="A2379" s="137"/>
      <c r="B2379" s="137"/>
      <c r="C2379" s="137"/>
      <c r="D2379" s="137"/>
      <c r="E2379" s="137"/>
      <c r="F2379" s="137"/>
      <c r="G2379" s="137"/>
      <c r="H2379" s="137"/>
      <c r="I2379" s="137"/>
      <c r="J2379" s="137"/>
      <c r="K2379" s="137"/>
      <c r="L2379" s="137"/>
      <c r="M2379" s="137"/>
      <c r="N2379" s="137"/>
      <c r="O2379" s="137"/>
      <c r="P2379" s="137"/>
      <c r="Q2379" s="137"/>
      <c r="R2379" s="137"/>
      <c r="S2379" s="137"/>
      <c r="T2379" s="137"/>
      <c r="U2379" s="137"/>
      <c r="V2379" s="137"/>
      <c r="W2379" s="137"/>
    </row>
    <row r="2380" spans="1:23" x14ac:dyDescent="0.25">
      <c r="A2380" s="137"/>
      <c r="B2380" s="137"/>
      <c r="C2380" s="137"/>
      <c r="D2380" s="137"/>
      <c r="E2380" s="137"/>
      <c r="F2380" s="137"/>
      <c r="G2380" s="137"/>
      <c r="H2380" s="137"/>
      <c r="I2380" s="137"/>
      <c r="J2380" s="137"/>
      <c r="K2380" s="137"/>
      <c r="L2380" s="137"/>
      <c r="M2380" s="137"/>
      <c r="N2380" s="137"/>
      <c r="O2380" s="137"/>
      <c r="P2380" s="137"/>
      <c r="Q2380" s="137"/>
      <c r="R2380" s="137"/>
      <c r="S2380" s="137"/>
      <c r="T2380" s="137"/>
      <c r="U2380" s="137"/>
      <c r="V2380" s="137"/>
      <c r="W2380" s="137"/>
    </row>
    <row r="2381" spans="1:23" x14ac:dyDescent="0.25">
      <c r="A2381" s="137"/>
      <c r="B2381" s="137"/>
      <c r="C2381" s="137"/>
      <c r="D2381" s="137"/>
      <c r="E2381" s="137"/>
      <c r="F2381" s="137"/>
      <c r="G2381" s="137"/>
      <c r="H2381" s="137"/>
      <c r="I2381" s="137"/>
      <c r="J2381" s="137"/>
      <c r="K2381" s="137"/>
      <c r="L2381" s="137"/>
      <c r="M2381" s="137"/>
      <c r="N2381" s="137"/>
      <c r="O2381" s="137"/>
      <c r="P2381" s="137"/>
      <c r="Q2381" s="137"/>
      <c r="R2381" s="137"/>
      <c r="S2381" s="137"/>
      <c r="T2381" s="137"/>
      <c r="U2381" s="137"/>
      <c r="V2381" s="137"/>
      <c r="W2381" s="137"/>
    </row>
    <row r="2382" spans="1:23" x14ac:dyDescent="0.25">
      <c r="A2382" s="137"/>
      <c r="B2382" s="137"/>
      <c r="C2382" s="137"/>
      <c r="D2382" s="137"/>
      <c r="E2382" s="137"/>
      <c r="F2382" s="137"/>
      <c r="G2382" s="137"/>
      <c r="H2382" s="137"/>
      <c r="I2382" s="137"/>
      <c r="J2382" s="137"/>
      <c r="K2382" s="137"/>
      <c r="L2382" s="137"/>
      <c r="M2382" s="137"/>
      <c r="N2382" s="137"/>
      <c r="O2382" s="137"/>
      <c r="P2382" s="137"/>
      <c r="Q2382" s="137"/>
      <c r="R2382" s="137"/>
      <c r="S2382" s="137"/>
      <c r="T2382" s="137"/>
      <c r="U2382" s="137"/>
      <c r="V2382" s="137"/>
      <c r="W2382" s="137"/>
    </row>
    <row r="2383" spans="1:23" x14ac:dyDescent="0.25">
      <c r="A2383" s="137"/>
      <c r="B2383" s="137"/>
      <c r="C2383" s="137"/>
      <c r="D2383" s="137"/>
      <c r="E2383" s="137"/>
      <c r="F2383" s="137"/>
      <c r="G2383" s="137"/>
      <c r="H2383" s="137"/>
      <c r="I2383" s="137"/>
      <c r="J2383" s="137"/>
      <c r="K2383" s="137"/>
      <c r="L2383" s="137"/>
      <c r="M2383" s="137"/>
      <c r="N2383" s="137"/>
      <c r="O2383" s="137"/>
      <c r="P2383" s="137"/>
      <c r="Q2383" s="137"/>
      <c r="R2383" s="137"/>
      <c r="S2383" s="137"/>
      <c r="T2383" s="137"/>
      <c r="U2383" s="137"/>
      <c r="V2383" s="137"/>
      <c r="W2383" s="137"/>
    </row>
    <row r="2384" spans="1:23" x14ac:dyDescent="0.25">
      <c r="A2384" s="137"/>
      <c r="B2384" s="137"/>
      <c r="C2384" s="137"/>
      <c r="D2384" s="137"/>
      <c r="E2384" s="137"/>
      <c r="F2384" s="137"/>
      <c r="G2384" s="137"/>
      <c r="H2384" s="137"/>
      <c r="I2384" s="137"/>
      <c r="J2384" s="137"/>
      <c r="K2384" s="137"/>
      <c r="L2384" s="137"/>
      <c r="M2384" s="137"/>
      <c r="N2384" s="137"/>
      <c r="O2384" s="137"/>
      <c r="P2384" s="137"/>
      <c r="Q2384" s="137"/>
      <c r="R2384" s="137"/>
      <c r="S2384" s="137"/>
      <c r="T2384" s="137"/>
      <c r="U2384" s="137"/>
      <c r="V2384" s="137"/>
      <c r="W2384" s="137"/>
    </row>
    <row r="2385" spans="1:23" x14ac:dyDescent="0.25">
      <c r="A2385" s="137"/>
      <c r="B2385" s="137"/>
      <c r="C2385" s="137"/>
      <c r="D2385" s="137"/>
      <c r="E2385" s="137"/>
      <c r="F2385" s="137"/>
      <c r="G2385" s="137"/>
      <c r="H2385" s="137"/>
      <c r="I2385" s="137"/>
      <c r="J2385" s="137"/>
      <c r="K2385" s="137"/>
      <c r="L2385" s="137"/>
      <c r="M2385" s="137"/>
      <c r="N2385" s="137"/>
      <c r="O2385" s="137"/>
      <c r="P2385" s="137"/>
      <c r="Q2385" s="137"/>
      <c r="R2385" s="137"/>
      <c r="S2385" s="137"/>
      <c r="T2385" s="137"/>
      <c r="U2385" s="137"/>
      <c r="V2385" s="137"/>
      <c r="W2385" s="137"/>
    </row>
    <row r="2386" spans="1:23" x14ac:dyDescent="0.25">
      <c r="A2386" s="137"/>
      <c r="B2386" s="137"/>
      <c r="C2386" s="137"/>
      <c r="D2386" s="137"/>
      <c r="E2386" s="137"/>
      <c r="F2386" s="137"/>
      <c r="G2386" s="137"/>
      <c r="H2386" s="137"/>
      <c r="I2386" s="137"/>
      <c r="J2386" s="137"/>
      <c r="K2386" s="137"/>
      <c r="L2386" s="137"/>
      <c r="M2386" s="137"/>
      <c r="N2386" s="137"/>
      <c r="O2386" s="137"/>
      <c r="P2386" s="137"/>
      <c r="Q2386" s="137"/>
      <c r="R2386" s="137"/>
      <c r="S2386" s="137"/>
      <c r="T2386" s="137"/>
      <c r="U2386" s="137"/>
      <c r="V2386" s="137"/>
      <c r="W2386" s="137"/>
    </row>
    <row r="2387" spans="1:23" x14ac:dyDescent="0.25">
      <c r="A2387" s="137"/>
      <c r="B2387" s="137"/>
      <c r="C2387" s="137"/>
      <c r="D2387" s="137"/>
      <c r="E2387" s="137"/>
      <c r="F2387" s="137"/>
      <c r="G2387" s="137"/>
      <c r="H2387" s="137"/>
      <c r="I2387" s="137"/>
      <c r="J2387" s="137"/>
      <c r="K2387" s="137"/>
      <c r="L2387" s="137"/>
      <c r="M2387" s="137"/>
      <c r="N2387" s="137"/>
      <c r="O2387" s="137"/>
      <c r="P2387" s="137"/>
      <c r="Q2387" s="137"/>
      <c r="R2387" s="137"/>
      <c r="S2387" s="137"/>
      <c r="T2387" s="137"/>
      <c r="U2387" s="137"/>
      <c r="V2387" s="137"/>
      <c r="W2387" s="137"/>
    </row>
    <row r="2388" spans="1:23" x14ac:dyDescent="0.25">
      <c r="A2388" s="137"/>
      <c r="B2388" s="137"/>
      <c r="C2388" s="137"/>
      <c r="D2388" s="137"/>
      <c r="E2388" s="137"/>
      <c r="F2388" s="137"/>
      <c r="G2388" s="137"/>
      <c r="H2388" s="137"/>
      <c r="I2388" s="137"/>
      <c r="J2388" s="137"/>
      <c r="K2388" s="137"/>
      <c r="L2388" s="137"/>
      <c r="M2388" s="137"/>
      <c r="N2388" s="137"/>
      <c r="O2388" s="137"/>
      <c r="P2388" s="137"/>
      <c r="Q2388" s="137"/>
      <c r="R2388" s="137"/>
      <c r="S2388" s="137"/>
      <c r="T2388" s="137"/>
      <c r="U2388" s="137"/>
      <c r="V2388" s="137"/>
      <c r="W2388" s="137"/>
    </row>
    <row r="2389" spans="1:23" x14ac:dyDescent="0.25">
      <c r="A2389" s="137"/>
      <c r="B2389" s="137"/>
      <c r="C2389" s="137"/>
      <c r="D2389" s="137"/>
      <c r="E2389" s="137"/>
      <c r="F2389" s="137"/>
      <c r="G2389" s="137"/>
      <c r="H2389" s="137"/>
      <c r="I2389" s="137"/>
      <c r="J2389" s="137"/>
      <c r="K2389" s="137"/>
      <c r="L2389" s="137"/>
      <c r="M2389" s="137"/>
      <c r="N2389" s="137"/>
      <c r="O2389" s="137"/>
      <c r="P2389" s="137"/>
      <c r="Q2389" s="137"/>
      <c r="R2389" s="137"/>
      <c r="S2389" s="137"/>
      <c r="T2389" s="137"/>
      <c r="U2389" s="137"/>
      <c r="V2389" s="137"/>
      <c r="W2389" s="137"/>
    </row>
    <row r="2390" spans="1:23" x14ac:dyDescent="0.25">
      <c r="A2390" s="137"/>
      <c r="B2390" s="137"/>
      <c r="C2390" s="137"/>
      <c r="D2390" s="137"/>
      <c r="E2390" s="137"/>
      <c r="F2390" s="137"/>
      <c r="G2390" s="137"/>
      <c r="H2390" s="137"/>
      <c r="I2390" s="137"/>
      <c r="J2390" s="137"/>
      <c r="K2390" s="137"/>
      <c r="L2390" s="137"/>
      <c r="M2390" s="137"/>
      <c r="N2390" s="137"/>
      <c r="O2390" s="137"/>
      <c r="P2390" s="137"/>
      <c r="Q2390" s="137"/>
      <c r="R2390" s="137"/>
      <c r="S2390" s="137"/>
      <c r="T2390" s="137"/>
      <c r="U2390" s="137"/>
      <c r="V2390" s="137"/>
      <c r="W2390" s="137"/>
    </row>
    <row r="2391" spans="1:23" x14ac:dyDescent="0.25">
      <c r="A2391" s="137"/>
      <c r="B2391" s="137"/>
      <c r="C2391" s="137"/>
      <c r="D2391" s="137"/>
      <c r="E2391" s="137"/>
      <c r="F2391" s="137"/>
      <c r="G2391" s="137"/>
      <c r="H2391" s="137"/>
      <c r="I2391" s="137"/>
      <c r="J2391" s="137"/>
      <c r="K2391" s="137"/>
      <c r="L2391" s="137"/>
      <c r="M2391" s="137"/>
      <c r="N2391" s="137"/>
      <c r="O2391" s="137"/>
      <c r="P2391" s="137"/>
      <c r="Q2391" s="137"/>
      <c r="R2391" s="137"/>
      <c r="S2391" s="137"/>
      <c r="T2391" s="137"/>
      <c r="U2391" s="137"/>
      <c r="V2391" s="137"/>
      <c r="W2391" s="137"/>
    </row>
    <row r="2392" spans="1:23" x14ac:dyDescent="0.25">
      <c r="A2392" s="137"/>
      <c r="B2392" s="137"/>
      <c r="C2392" s="137"/>
      <c r="D2392" s="137"/>
      <c r="E2392" s="137"/>
      <c r="F2392" s="137"/>
      <c r="G2392" s="137"/>
      <c r="H2392" s="137"/>
      <c r="I2392" s="137"/>
      <c r="J2392" s="137"/>
      <c r="K2392" s="137"/>
      <c r="L2392" s="137"/>
      <c r="M2392" s="137"/>
      <c r="N2392" s="137"/>
      <c r="O2392" s="137"/>
      <c r="P2392" s="137"/>
      <c r="Q2392" s="137"/>
      <c r="R2392" s="137"/>
      <c r="S2392" s="137"/>
      <c r="T2392" s="137"/>
      <c r="U2392" s="137"/>
      <c r="V2392" s="137"/>
      <c r="W2392" s="137"/>
    </row>
    <row r="2393" spans="1:23" x14ac:dyDescent="0.25">
      <c r="A2393" s="137"/>
      <c r="B2393" s="137"/>
      <c r="C2393" s="137"/>
      <c r="D2393" s="137"/>
      <c r="E2393" s="137"/>
      <c r="F2393" s="137"/>
      <c r="G2393" s="137"/>
      <c r="H2393" s="137"/>
      <c r="I2393" s="137"/>
      <c r="J2393" s="137"/>
      <c r="K2393" s="137"/>
      <c r="L2393" s="137"/>
      <c r="M2393" s="137"/>
      <c r="N2393" s="137"/>
      <c r="O2393" s="137"/>
      <c r="P2393" s="137"/>
      <c r="Q2393" s="137"/>
      <c r="R2393" s="137"/>
      <c r="S2393" s="137"/>
      <c r="T2393" s="137"/>
      <c r="U2393" s="137"/>
      <c r="V2393" s="137"/>
      <c r="W2393" s="137"/>
    </row>
    <row r="2394" spans="1:23" x14ac:dyDescent="0.25">
      <c r="A2394" s="137"/>
      <c r="B2394" s="137"/>
      <c r="C2394" s="137"/>
      <c r="D2394" s="137"/>
      <c r="E2394" s="137"/>
      <c r="F2394" s="137"/>
      <c r="G2394" s="137"/>
      <c r="H2394" s="137"/>
      <c r="I2394" s="137"/>
      <c r="J2394" s="137"/>
      <c r="K2394" s="137"/>
      <c r="L2394" s="137"/>
      <c r="M2394" s="137"/>
      <c r="N2394" s="137"/>
      <c r="O2394" s="137"/>
      <c r="P2394" s="137"/>
      <c r="Q2394" s="137"/>
      <c r="R2394" s="137"/>
      <c r="S2394" s="137"/>
      <c r="T2394" s="137"/>
      <c r="U2394" s="137"/>
      <c r="V2394" s="137"/>
      <c r="W2394" s="137"/>
    </row>
    <row r="2395" spans="1:23" x14ac:dyDescent="0.25">
      <c r="A2395" s="137"/>
      <c r="B2395" s="137"/>
      <c r="C2395" s="137"/>
      <c r="D2395" s="137"/>
      <c r="E2395" s="137"/>
      <c r="F2395" s="137"/>
      <c r="G2395" s="137"/>
      <c r="H2395" s="137"/>
      <c r="I2395" s="137"/>
      <c r="J2395" s="137"/>
      <c r="K2395" s="137"/>
      <c r="L2395" s="137"/>
      <c r="M2395" s="137"/>
      <c r="N2395" s="137"/>
      <c r="O2395" s="137"/>
      <c r="P2395" s="137"/>
      <c r="Q2395" s="137"/>
      <c r="R2395" s="137"/>
      <c r="S2395" s="137"/>
      <c r="T2395" s="137"/>
      <c r="U2395" s="137"/>
      <c r="V2395" s="137"/>
      <c r="W2395" s="137"/>
    </row>
    <row r="2396" spans="1:23" x14ac:dyDescent="0.25">
      <c r="A2396" s="137"/>
      <c r="B2396" s="137"/>
      <c r="C2396" s="137"/>
      <c r="D2396" s="137"/>
      <c r="E2396" s="137"/>
      <c r="F2396" s="137"/>
      <c r="G2396" s="137"/>
      <c r="H2396" s="137"/>
      <c r="I2396" s="137"/>
      <c r="J2396" s="137"/>
      <c r="K2396" s="137"/>
      <c r="L2396" s="137"/>
      <c r="M2396" s="137"/>
      <c r="N2396" s="137"/>
      <c r="O2396" s="137"/>
      <c r="P2396" s="137"/>
      <c r="Q2396" s="137"/>
      <c r="R2396" s="137"/>
      <c r="S2396" s="137"/>
      <c r="T2396" s="137"/>
      <c r="U2396" s="137"/>
      <c r="V2396" s="137"/>
      <c r="W2396" s="137"/>
    </row>
    <row r="2397" spans="1:23" x14ac:dyDescent="0.25">
      <c r="A2397" s="137"/>
      <c r="B2397" s="137"/>
      <c r="C2397" s="137"/>
      <c r="D2397" s="137"/>
      <c r="E2397" s="137"/>
      <c r="F2397" s="137"/>
      <c r="G2397" s="137"/>
      <c r="H2397" s="137"/>
      <c r="I2397" s="137"/>
      <c r="J2397" s="137"/>
      <c r="K2397" s="137"/>
      <c r="L2397" s="137"/>
      <c r="M2397" s="137"/>
      <c r="N2397" s="137"/>
      <c r="O2397" s="137"/>
      <c r="P2397" s="137"/>
      <c r="Q2397" s="137"/>
      <c r="R2397" s="137"/>
      <c r="S2397" s="137"/>
      <c r="T2397" s="137"/>
      <c r="U2397" s="137"/>
      <c r="V2397" s="137"/>
      <c r="W2397" s="137"/>
    </row>
    <row r="2398" spans="1:23" x14ac:dyDescent="0.25">
      <c r="A2398" s="137"/>
      <c r="B2398" s="137"/>
      <c r="C2398" s="137"/>
      <c r="D2398" s="137"/>
      <c r="E2398" s="137"/>
      <c r="F2398" s="137"/>
      <c r="G2398" s="137"/>
      <c r="H2398" s="137"/>
      <c r="I2398" s="137"/>
      <c r="J2398" s="137"/>
      <c r="K2398" s="137"/>
      <c r="L2398" s="137"/>
      <c r="M2398" s="137"/>
      <c r="N2398" s="137"/>
      <c r="O2398" s="137"/>
      <c r="P2398" s="137"/>
      <c r="Q2398" s="137"/>
      <c r="R2398" s="137"/>
      <c r="S2398" s="137"/>
      <c r="T2398" s="137"/>
      <c r="U2398" s="137"/>
      <c r="V2398" s="137"/>
      <c r="W2398" s="137"/>
    </row>
    <row r="2399" spans="1:23" x14ac:dyDescent="0.25">
      <c r="A2399" s="137"/>
      <c r="B2399" s="137"/>
      <c r="C2399" s="137"/>
      <c r="D2399" s="137"/>
      <c r="E2399" s="137"/>
      <c r="F2399" s="137"/>
      <c r="G2399" s="137"/>
      <c r="H2399" s="137"/>
      <c r="I2399" s="137"/>
      <c r="J2399" s="137"/>
      <c r="K2399" s="137"/>
      <c r="L2399" s="137"/>
      <c r="M2399" s="137"/>
      <c r="N2399" s="137"/>
      <c r="O2399" s="137"/>
      <c r="P2399" s="137"/>
      <c r="Q2399" s="137"/>
      <c r="R2399" s="137"/>
      <c r="S2399" s="137"/>
      <c r="T2399" s="137"/>
      <c r="U2399" s="137"/>
      <c r="V2399" s="137"/>
      <c r="W2399" s="137"/>
    </row>
    <row r="2400" spans="1:23" x14ac:dyDescent="0.25">
      <c r="A2400" s="137"/>
      <c r="B2400" s="137"/>
      <c r="C2400" s="137"/>
      <c r="D2400" s="137"/>
      <c r="E2400" s="137"/>
      <c r="F2400" s="137"/>
      <c r="G2400" s="137"/>
      <c r="H2400" s="137"/>
      <c r="I2400" s="137"/>
      <c r="J2400" s="137"/>
      <c r="K2400" s="137"/>
      <c r="L2400" s="137"/>
      <c r="M2400" s="137"/>
      <c r="N2400" s="137"/>
      <c r="O2400" s="137"/>
      <c r="P2400" s="137"/>
      <c r="Q2400" s="137"/>
      <c r="R2400" s="137"/>
      <c r="S2400" s="137"/>
      <c r="T2400" s="137"/>
      <c r="U2400" s="137"/>
      <c r="V2400" s="137"/>
      <c r="W2400" s="137"/>
    </row>
    <row r="2401" spans="1:23" x14ac:dyDescent="0.25">
      <c r="A2401" s="137"/>
      <c r="B2401" s="137"/>
      <c r="C2401" s="137"/>
      <c r="D2401" s="137"/>
      <c r="E2401" s="137"/>
      <c r="F2401" s="137"/>
      <c r="G2401" s="137"/>
      <c r="H2401" s="137"/>
      <c r="I2401" s="137"/>
      <c r="J2401" s="137"/>
      <c r="K2401" s="137"/>
      <c r="L2401" s="137"/>
      <c r="M2401" s="137"/>
      <c r="N2401" s="137"/>
      <c r="O2401" s="137"/>
      <c r="P2401" s="137"/>
      <c r="Q2401" s="137"/>
      <c r="R2401" s="137"/>
      <c r="S2401" s="137"/>
      <c r="T2401" s="137"/>
      <c r="U2401" s="137"/>
      <c r="V2401" s="137"/>
      <c r="W2401" s="137"/>
    </row>
    <row r="2402" spans="1:23" x14ac:dyDescent="0.25">
      <c r="A2402" s="137"/>
      <c r="B2402" s="137"/>
      <c r="C2402" s="137"/>
      <c r="D2402" s="137"/>
      <c r="E2402" s="137"/>
      <c r="F2402" s="137"/>
      <c r="G2402" s="137"/>
      <c r="H2402" s="137"/>
      <c r="I2402" s="137"/>
      <c r="J2402" s="137"/>
      <c r="K2402" s="137"/>
      <c r="L2402" s="137"/>
      <c r="M2402" s="137"/>
      <c r="N2402" s="137"/>
      <c r="O2402" s="137"/>
      <c r="P2402" s="137"/>
      <c r="Q2402" s="137"/>
      <c r="R2402" s="137"/>
      <c r="S2402" s="137"/>
      <c r="T2402" s="137"/>
      <c r="U2402" s="137"/>
      <c r="V2402" s="137"/>
      <c r="W2402" s="137"/>
    </row>
    <row r="2403" spans="1:23" x14ac:dyDescent="0.25">
      <c r="A2403" s="137"/>
      <c r="B2403" s="137"/>
      <c r="C2403" s="137"/>
      <c r="D2403" s="137"/>
      <c r="E2403" s="137"/>
      <c r="F2403" s="137"/>
      <c r="G2403" s="137"/>
      <c r="H2403" s="137"/>
      <c r="I2403" s="137"/>
      <c r="J2403" s="137"/>
      <c r="K2403" s="137"/>
      <c r="L2403" s="137"/>
      <c r="M2403" s="137"/>
      <c r="N2403" s="137"/>
      <c r="O2403" s="137"/>
      <c r="P2403" s="137"/>
      <c r="Q2403" s="137"/>
      <c r="R2403" s="137"/>
      <c r="S2403" s="137"/>
      <c r="T2403" s="137"/>
      <c r="U2403" s="137"/>
      <c r="V2403" s="137"/>
      <c r="W2403" s="137"/>
    </row>
    <row r="2404" spans="1:23" x14ac:dyDescent="0.25">
      <c r="A2404" s="137"/>
      <c r="B2404" s="137"/>
      <c r="C2404" s="137"/>
      <c r="D2404" s="137"/>
      <c r="E2404" s="137"/>
      <c r="F2404" s="137"/>
      <c r="G2404" s="137"/>
      <c r="H2404" s="137"/>
      <c r="I2404" s="137"/>
      <c r="J2404" s="137"/>
      <c r="K2404" s="137"/>
      <c r="L2404" s="137"/>
      <c r="M2404" s="137"/>
      <c r="N2404" s="137"/>
      <c r="O2404" s="137"/>
      <c r="P2404" s="137"/>
      <c r="Q2404" s="137"/>
      <c r="R2404" s="137"/>
      <c r="S2404" s="137"/>
      <c r="T2404" s="137"/>
      <c r="U2404" s="137"/>
      <c r="V2404" s="137"/>
      <c r="W2404" s="137"/>
    </row>
    <row r="2405" spans="1:23" x14ac:dyDescent="0.25">
      <c r="A2405" s="137"/>
      <c r="B2405" s="137"/>
      <c r="C2405" s="137"/>
      <c r="D2405" s="137"/>
      <c r="E2405" s="137"/>
      <c r="F2405" s="137"/>
      <c r="G2405" s="137"/>
      <c r="H2405" s="137"/>
      <c r="I2405" s="137"/>
      <c r="J2405" s="137"/>
      <c r="K2405" s="137"/>
      <c r="L2405" s="137"/>
      <c r="M2405" s="137"/>
      <c r="N2405" s="137"/>
      <c r="O2405" s="137"/>
      <c r="P2405" s="137"/>
      <c r="Q2405" s="137"/>
      <c r="R2405" s="137"/>
      <c r="S2405" s="137"/>
      <c r="T2405" s="137"/>
      <c r="U2405" s="137"/>
      <c r="V2405" s="137"/>
      <c r="W2405" s="137"/>
    </row>
    <row r="2406" spans="1:23" x14ac:dyDescent="0.25">
      <c r="A2406" s="137"/>
      <c r="B2406" s="137"/>
      <c r="C2406" s="137"/>
      <c r="D2406" s="137"/>
      <c r="E2406" s="137"/>
      <c r="F2406" s="137"/>
      <c r="G2406" s="137"/>
      <c r="H2406" s="137"/>
      <c r="I2406" s="137"/>
      <c r="J2406" s="137"/>
      <c r="K2406" s="137"/>
      <c r="L2406" s="137"/>
      <c r="M2406" s="137"/>
      <c r="N2406" s="137"/>
      <c r="O2406" s="137"/>
      <c r="P2406" s="137"/>
      <c r="Q2406" s="137"/>
      <c r="R2406" s="137"/>
      <c r="S2406" s="137"/>
      <c r="T2406" s="137"/>
      <c r="U2406" s="137"/>
      <c r="V2406" s="137"/>
      <c r="W2406" s="137"/>
    </row>
    <row r="2407" spans="1:23" x14ac:dyDescent="0.25">
      <c r="A2407" s="137"/>
      <c r="B2407" s="137"/>
      <c r="C2407" s="137"/>
      <c r="D2407" s="137"/>
      <c r="E2407" s="137"/>
      <c r="F2407" s="137"/>
      <c r="G2407" s="137"/>
      <c r="H2407" s="137"/>
      <c r="I2407" s="137"/>
      <c r="J2407" s="137"/>
      <c r="K2407" s="137"/>
      <c r="L2407" s="137"/>
      <c r="M2407" s="137"/>
      <c r="N2407" s="137"/>
      <c r="O2407" s="137"/>
      <c r="P2407" s="137"/>
      <c r="Q2407" s="137"/>
      <c r="R2407" s="137"/>
      <c r="S2407" s="137"/>
      <c r="T2407" s="137"/>
      <c r="U2407" s="137"/>
      <c r="V2407" s="137"/>
      <c r="W2407" s="137"/>
    </row>
    <row r="2408" spans="1:23" x14ac:dyDescent="0.25">
      <c r="A2408" s="137"/>
      <c r="B2408" s="137"/>
      <c r="C2408" s="137"/>
      <c r="D2408" s="137"/>
      <c r="E2408" s="137"/>
      <c r="F2408" s="137"/>
      <c r="G2408" s="137"/>
      <c r="H2408" s="137"/>
      <c r="I2408" s="137"/>
      <c r="J2408" s="137"/>
      <c r="K2408" s="137"/>
      <c r="L2408" s="137"/>
      <c r="M2408" s="137"/>
      <c r="N2408" s="137"/>
      <c r="O2408" s="137"/>
      <c r="P2408" s="137"/>
      <c r="Q2408" s="137"/>
      <c r="R2408" s="137"/>
      <c r="S2408" s="137"/>
      <c r="T2408" s="137"/>
      <c r="U2408" s="137"/>
      <c r="V2408" s="137"/>
      <c r="W2408" s="137"/>
    </row>
    <row r="2409" spans="1:23" x14ac:dyDescent="0.25">
      <c r="A2409" s="137"/>
      <c r="B2409" s="137"/>
      <c r="C2409" s="137"/>
      <c r="D2409" s="137"/>
      <c r="E2409" s="137"/>
      <c r="F2409" s="137"/>
      <c r="G2409" s="137"/>
      <c r="H2409" s="137"/>
      <c r="I2409" s="137"/>
      <c r="J2409" s="137"/>
      <c r="K2409" s="137"/>
      <c r="L2409" s="137"/>
      <c r="M2409" s="137"/>
      <c r="N2409" s="137"/>
      <c r="O2409" s="137"/>
      <c r="P2409" s="137"/>
      <c r="Q2409" s="137"/>
      <c r="R2409" s="137"/>
      <c r="S2409" s="137"/>
      <c r="T2409" s="137"/>
      <c r="U2409" s="137"/>
      <c r="V2409" s="137"/>
      <c r="W2409" s="137"/>
    </row>
    <row r="2410" spans="1:23" x14ac:dyDescent="0.25">
      <c r="A2410" s="137"/>
      <c r="B2410" s="137"/>
      <c r="C2410" s="137"/>
      <c r="D2410" s="137"/>
      <c r="E2410" s="137"/>
      <c r="F2410" s="137"/>
      <c r="G2410" s="137"/>
      <c r="H2410" s="137"/>
      <c r="I2410" s="137"/>
      <c r="J2410" s="137"/>
      <c r="K2410" s="137"/>
      <c r="L2410" s="137"/>
      <c r="M2410" s="137"/>
      <c r="N2410" s="137"/>
      <c r="O2410" s="137"/>
      <c r="P2410" s="137"/>
      <c r="Q2410" s="137"/>
      <c r="R2410" s="137"/>
      <c r="S2410" s="137"/>
      <c r="T2410" s="137"/>
      <c r="U2410" s="137"/>
      <c r="V2410" s="137"/>
      <c r="W2410" s="137"/>
    </row>
    <row r="2411" spans="1:23" x14ac:dyDescent="0.25">
      <c r="A2411" s="137"/>
      <c r="B2411" s="137"/>
      <c r="C2411" s="137"/>
      <c r="D2411" s="137"/>
      <c r="E2411" s="137"/>
      <c r="F2411" s="137"/>
      <c r="G2411" s="137"/>
      <c r="H2411" s="137"/>
      <c r="I2411" s="137"/>
      <c r="J2411" s="137"/>
      <c r="K2411" s="137"/>
      <c r="L2411" s="137"/>
      <c r="M2411" s="137"/>
      <c r="N2411" s="137"/>
      <c r="O2411" s="137"/>
      <c r="P2411" s="137"/>
      <c r="Q2411" s="137"/>
      <c r="R2411" s="137"/>
      <c r="S2411" s="137"/>
      <c r="T2411" s="137"/>
      <c r="U2411" s="137"/>
      <c r="V2411" s="137"/>
      <c r="W2411" s="137"/>
    </row>
    <row r="2412" spans="1:23" x14ac:dyDescent="0.25">
      <c r="A2412" s="137"/>
      <c r="B2412" s="137"/>
      <c r="C2412" s="137"/>
      <c r="D2412" s="137"/>
      <c r="E2412" s="137"/>
      <c r="F2412" s="137"/>
      <c r="G2412" s="137"/>
      <c r="H2412" s="137"/>
      <c r="I2412" s="137"/>
      <c r="J2412" s="137"/>
      <c r="K2412" s="137"/>
      <c r="L2412" s="137"/>
      <c r="M2412" s="137"/>
      <c r="N2412" s="137"/>
      <c r="O2412" s="137"/>
      <c r="P2412" s="137"/>
      <c r="Q2412" s="137"/>
      <c r="R2412" s="137"/>
      <c r="S2412" s="137"/>
      <c r="T2412" s="137"/>
      <c r="U2412" s="137"/>
      <c r="V2412" s="137"/>
      <c r="W2412" s="137"/>
    </row>
    <row r="2413" spans="1:23" x14ac:dyDescent="0.25">
      <c r="A2413" s="137"/>
      <c r="B2413" s="137"/>
      <c r="C2413" s="137"/>
      <c r="D2413" s="137"/>
      <c r="E2413" s="137"/>
      <c r="F2413" s="137"/>
      <c r="G2413" s="137"/>
      <c r="H2413" s="137"/>
      <c r="I2413" s="137"/>
      <c r="J2413" s="137"/>
      <c r="K2413" s="137"/>
      <c r="L2413" s="137"/>
      <c r="M2413" s="137"/>
      <c r="N2413" s="137"/>
      <c r="O2413" s="137"/>
      <c r="P2413" s="137"/>
      <c r="Q2413" s="137"/>
      <c r="R2413" s="137"/>
      <c r="S2413" s="137"/>
      <c r="T2413" s="137"/>
      <c r="U2413" s="137"/>
      <c r="V2413" s="137"/>
      <c r="W2413" s="137"/>
    </row>
  </sheetData>
  <mergeCells count="292">
    <mergeCell ref="A1:T1"/>
    <mergeCell ref="A2:T2"/>
    <mergeCell ref="A3:T3"/>
    <mergeCell ref="A4:T4"/>
    <mergeCell ref="A6:B7"/>
    <mergeCell ref="C6:C7"/>
    <mergeCell ref="D6:T6"/>
    <mergeCell ref="A5:T5"/>
    <mergeCell ref="U6:W6"/>
    <mergeCell ref="A8:B9"/>
    <mergeCell ref="C8:C9"/>
    <mergeCell ref="D8:D9"/>
    <mergeCell ref="E8:E9"/>
    <mergeCell ref="F8:F9"/>
    <mergeCell ref="G8:G9"/>
    <mergeCell ref="H8:H9"/>
    <mergeCell ref="I8:I9"/>
    <mergeCell ref="J8:J9"/>
    <mergeCell ref="W8:W9"/>
    <mergeCell ref="A10:B11"/>
    <mergeCell ref="C10:C11"/>
    <mergeCell ref="D10:D11"/>
    <mergeCell ref="E10:E11"/>
    <mergeCell ref="F10:F11"/>
    <mergeCell ref="G10:G11"/>
    <mergeCell ref="H10:H11"/>
    <mergeCell ref="I10:I11"/>
    <mergeCell ref="J10:J11"/>
    <mergeCell ref="Q8:Q9"/>
    <mergeCell ref="R8:R9"/>
    <mergeCell ref="S8:S9"/>
    <mergeCell ref="T8:T9"/>
    <mergeCell ref="U8:U9"/>
    <mergeCell ref="V8:V9"/>
    <mergeCell ref="K8:K9"/>
    <mergeCell ref="L8:L9"/>
    <mergeCell ref="M8:M9"/>
    <mergeCell ref="N8:N9"/>
    <mergeCell ref="O8:O9"/>
    <mergeCell ref="P8:P9"/>
    <mergeCell ref="W10:W11"/>
    <mergeCell ref="A12:B13"/>
    <mergeCell ref="C12:C13"/>
    <mergeCell ref="D12:D13"/>
    <mergeCell ref="E12:E13"/>
    <mergeCell ref="F12:F13"/>
    <mergeCell ref="G12:G13"/>
    <mergeCell ref="H12:H13"/>
    <mergeCell ref="I12:I13"/>
    <mergeCell ref="J12:J13"/>
    <mergeCell ref="Q10:Q11"/>
    <mergeCell ref="R10:R11"/>
    <mergeCell ref="S10:S11"/>
    <mergeCell ref="T10:T11"/>
    <mergeCell ref="U10:U11"/>
    <mergeCell ref="V10:V11"/>
    <mergeCell ref="K10:K11"/>
    <mergeCell ref="L10:L11"/>
    <mergeCell ref="M10:M11"/>
    <mergeCell ref="N10:N11"/>
    <mergeCell ref="O10:O11"/>
    <mergeCell ref="P10:P11"/>
    <mergeCell ref="W12:W13"/>
    <mergeCell ref="A14:B15"/>
    <mergeCell ref="C14:C15"/>
    <mergeCell ref="D14:D15"/>
    <mergeCell ref="E14:E15"/>
    <mergeCell ref="F14:F15"/>
    <mergeCell ref="G14:G15"/>
    <mergeCell ref="H14:H15"/>
    <mergeCell ref="I14:I15"/>
    <mergeCell ref="J14:J15"/>
    <mergeCell ref="Q12:Q13"/>
    <mergeCell ref="R12:R13"/>
    <mergeCell ref="S12:S13"/>
    <mergeCell ref="T12:T13"/>
    <mergeCell ref="U12:U13"/>
    <mergeCell ref="V12:V13"/>
    <mergeCell ref="K12:K13"/>
    <mergeCell ref="L12:L13"/>
    <mergeCell ref="M12:M13"/>
    <mergeCell ref="N12:N13"/>
    <mergeCell ref="O12:O13"/>
    <mergeCell ref="P12:P13"/>
    <mergeCell ref="W14:W15"/>
    <mergeCell ref="A16:B17"/>
    <mergeCell ref="C16:C17"/>
    <mergeCell ref="D16:D17"/>
    <mergeCell ref="E16:E17"/>
    <mergeCell ref="F16:F17"/>
    <mergeCell ref="G16:G17"/>
    <mergeCell ref="H16:H17"/>
    <mergeCell ref="I16:I17"/>
    <mergeCell ref="J16:J17"/>
    <mergeCell ref="Q14:Q15"/>
    <mergeCell ref="R14:R15"/>
    <mergeCell ref="S14:S15"/>
    <mergeCell ref="T14:T15"/>
    <mergeCell ref="U14:U15"/>
    <mergeCell ref="V14:V15"/>
    <mergeCell ref="K14:K15"/>
    <mergeCell ref="L14:L15"/>
    <mergeCell ref="M14:M15"/>
    <mergeCell ref="N14:N15"/>
    <mergeCell ref="O14:O15"/>
    <mergeCell ref="P14:P15"/>
    <mergeCell ref="W16:W17"/>
    <mergeCell ref="A18:B19"/>
    <mergeCell ref="C18:C19"/>
    <mergeCell ref="D18:D19"/>
    <mergeCell ref="E18:E19"/>
    <mergeCell ref="F18:F19"/>
    <mergeCell ref="G18:G19"/>
    <mergeCell ref="H18:H19"/>
    <mergeCell ref="I18:I19"/>
    <mergeCell ref="J18:J19"/>
    <mergeCell ref="Q16:Q17"/>
    <mergeCell ref="R16:R17"/>
    <mergeCell ref="S16:S17"/>
    <mergeCell ref="T16:T17"/>
    <mergeCell ref="U16:U17"/>
    <mergeCell ref="V16:V17"/>
    <mergeCell ref="K16:K17"/>
    <mergeCell ref="L16:L17"/>
    <mergeCell ref="M16:M17"/>
    <mergeCell ref="N16:N17"/>
    <mergeCell ref="O16:O17"/>
    <mergeCell ref="P16:P17"/>
    <mergeCell ref="W18:W19"/>
    <mergeCell ref="A20:B21"/>
    <mergeCell ref="C20:C21"/>
    <mergeCell ref="D20:D21"/>
    <mergeCell ref="E20:E21"/>
    <mergeCell ref="F20:F21"/>
    <mergeCell ref="G20:G21"/>
    <mergeCell ref="H20:H21"/>
    <mergeCell ref="I20:I21"/>
    <mergeCell ref="J20:J21"/>
    <mergeCell ref="Q18:Q19"/>
    <mergeCell ref="R18:R19"/>
    <mergeCell ref="S18:S19"/>
    <mergeCell ref="T18:T19"/>
    <mergeCell ref="U18:U19"/>
    <mergeCell ref="V18:V19"/>
    <mergeCell ref="K18:K19"/>
    <mergeCell ref="L18:L19"/>
    <mergeCell ref="M18:M19"/>
    <mergeCell ref="N18:N19"/>
    <mergeCell ref="O18:O19"/>
    <mergeCell ref="P18:P19"/>
    <mergeCell ref="W20:W21"/>
    <mergeCell ref="A22:B23"/>
    <mergeCell ref="C22:C23"/>
    <mergeCell ref="D22:D23"/>
    <mergeCell ref="E22:E23"/>
    <mergeCell ref="F22:F23"/>
    <mergeCell ref="G22:G23"/>
    <mergeCell ref="H22:H23"/>
    <mergeCell ref="I22:I23"/>
    <mergeCell ref="J22:J23"/>
    <mergeCell ref="Q20:Q21"/>
    <mergeCell ref="R20:R21"/>
    <mergeCell ref="S20:S21"/>
    <mergeCell ref="T20:T21"/>
    <mergeCell ref="U20:U21"/>
    <mergeCell ref="V20:V21"/>
    <mergeCell ref="K20:K21"/>
    <mergeCell ref="L20:L21"/>
    <mergeCell ref="M20:M21"/>
    <mergeCell ref="N20:N21"/>
    <mergeCell ref="O20:O21"/>
    <mergeCell ref="P20:P21"/>
    <mergeCell ref="W22:W23"/>
    <mergeCell ref="A24:B25"/>
    <mergeCell ref="C24:C25"/>
    <mergeCell ref="D24:T25"/>
    <mergeCell ref="A26:B26"/>
    <mergeCell ref="U26:U27"/>
    <mergeCell ref="V26:V27"/>
    <mergeCell ref="W26:W27"/>
    <mergeCell ref="Q22:Q23"/>
    <mergeCell ref="R22:R23"/>
    <mergeCell ref="S22:S23"/>
    <mergeCell ref="T22:T23"/>
    <mergeCell ref="U22:U23"/>
    <mergeCell ref="V22:V23"/>
    <mergeCell ref="K22:K23"/>
    <mergeCell ref="L22:L23"/>
    <mergeCell ref="M22:M23"/>
    <mergeCell ref="N22:N23"/>
    <mergeCell ref="O22:O23"/>
    <mergeCell ref="P22:P23"/>
    <mergeCell ref="U35:W35"/>
    <mergeCell ref="D62:T62"/>
    <mergeCell ref="A63:B63"/>
    <mergeCell ref="A66:T66"/>
    <mergeCell ref="A67:T67"/>
    <mergeCell ref="A68:T68"/>
    <mergeCell ref="A29:T29"/>
    <mergeCell ref="A30:T30"/>
    <mergeCell ref="A31:T31"/>
    <mergeCell ref="A32:T32"/>
    <mergeCell ref="A33:T33"/>
    <mergeCell ref="A35:A36"/>
    <mergeCell ref="B35:B36"/>
    <mergeCell ref="C35:C36"/>
    <mergeCell ref="D35:T35"/>
    <mergeCell ref="U72:W72"/>
    <mergeCell ref="D90:T90"/>
    <mergeCell ref="A91:B91"/>
    <mergeCell ref="A94:T94"/>
    <mergeCell ref="A95:T95"/>
    <mergeCell ref="A96:T96"/>
    <mergeCell ref="A69:T69"/>
    <mergeCell ref="A70:T70"/>
    <mergeCell ref="A72:A73"/>
    <mergeCell ref="B72:B73"/>
    <mergeCell ref="C72:C73"/>
    <mergeCell ref="D72:T72"/>
    <mergeCell ref="Y131:AA131"/>
    <mergeCell ref="AC131:AE131"/>
    <mergeCell ref="AF131:AH131"/>
    <mergeCell ref="D138:T138"/>
    <mergeCell ref="A139:B139"/>
    <mergeCell ref="A142:T142"/>
    <mergeCell ref="A97:T97"/>
    <mergeCell ref="A99:A100"/>
    <mergeCell ref="B99:B100"/>
    <mergeCell ref="C99:C100"/>
    <mergeCell ref="D99:T99"/>
    <mergeCell ref="U99:W99"/>
    <mergeCell ref="U148:W148"/>
    <mergeCell ref="Y154:AA154"/>
    <mergeCell ref="AB154:AD154"/>
    <mergeCell ref="D180:T180"/>
    <mergeCell ref="A181:B181"/>
    <mergeCell ref="A184:T184"/>
    <mergeCell ref="A143:T143"/>
    <mergeCell ref="A144:T144"/>
    <mergeCell ref="A145:T145"/>
    <mergeCell ref="A146:T146"/>
    <mergeCell ref="A148:A149"/>
    <mergeCell ref="B148:B149"/>
    <mergeCell ref="C148:C149"/>
    <mergeCell ref="D148:T148"/>
    <mergeCell ref="U190:W190"/>
    <mergeCell ref="D209:T209"/>
    <mergeCell ref="A210:B210"/>
    <mergeCell ref="A215:T215"/>
    <mergeCell ref="A216:T216"/>
    <mergeCell ref="A217:T217"/>
    <mergeCell ref="A185:T185"/>
    <mergeCell ref="A186:T186"/>
    <mergeCell ref="A187:T187"/>
    <mergeCell ref="A188:T188"/>
    <mergeCell ref="A190:A191"/>
    <mergeCell ref="B190:B191"/>
    <mergeCell ref="C190:C191"/>
    <mergeCell ref="D190:T190"/>
    <mergeCell ref="AC225:AE225"/>
    <mergeCell ref="D237:T237"/>
    <mergeCell ref="A238:B238"/>
    <mergeCell ref="A240:T240"/>
    <mergeCell ref="A241:T241"/>
    <mergeCell ref="A218:T218"/>
    <mergeCell ref="A219:T219"/>
    <mergeCell ref="A221:A222"/>
    <mergeCell ref="B221:B222"/>
    <mergeCell ref="C221:C222"/>
    <mergeCell ref="D221:T221"/>
    <mergeCell ref="A242:T242"/>
    <mergeCell ref="A243:T243"/>
    <mergeCell ref="A244:T244"/>
    <mergeCell ref="A245:B245"/>
    <mergeCell ref="A246:A247"/>
    <mergeCell ref="B246:B247"/>
    <mergeCell ref="C246:C247"/>
    <mergeCell ref="D246:T246"/>
    <mergeCell ref="U221:W221"/>
    <mergeCell ref="Y274:AA274"/>
    <mergeCell ref="AB274:AD274"/>
    <mergeCell ref="AF274:AH274"/>
    <mergeCell ref="D284:T284"/>
    <mergeCell ref="A285:B285"/>
    <mergeCell ref="A416:T416"/>
    <mergeCell ref="U246:W246"/>
    <mergeCell ref="Y253:AA253"/>
    <mergeCell ref="AB253:AD253"/>
    <mergeCell ref="AE253:AG253"/>
    <mergeCell ref="Y265:AA265"/>
    <mergeCell ref="AB265:AD265"/>
    <mergeCell ref="AE265:AG265"/>
  </mergeCells>
  <printOptions horizontalCentered="1" verticalCentered="1"/>
  <pageMargins left="0.70866141732283472" right="0.70866141732283472" top="0.74803149606299213" bottom="0.74803149606299213" header="0.31496062992125984" footer="0.31496062992125984"/>
  <pageSetup paperSize="9" scale="55"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68"/>
  <sheetViews>
    <sheetView topLeftCell="G1" zoomScale="71" zoomScaleNormal="71" workbookViewId="0">
      <selection activeCell="G1" sqref="G1:AG43"/>
    </sheetView>
  </sheetViews>
  <sheetFormatPr baseColWidth="10" defaultRowHeight="15" x14ac:dyDescent="0.25"/>
  <cols>
    <col min="1" max="1" width="19.5703125" hidden="1" customWidth="1"/>
    <col min="2" max="2" width="14.85546875" hidden="1" customWidth="1"/>
    <col min="3" max="3" width="14.7109375" hidden="1" customWidth="1"/>
    <col min="4" max="4" width="14.28515625" hidden="1" customWidth="1"/>
    <col min="5" max="5" width="14.7109375" hidden="1" customWidth="1"/>
    <col min="6" max="6" width="15.140625" hidden="1" customWidth="1"/>
    <col min="7" max="7" width="20.7109375" customWidth="1"/>
    <col min="8" max="8" width="15.42578125" customWidth="1"/>
    <col min="9" max="9" width="16.42578125" customWidth="1"/>
    <col min="10" max="10" width="19" customWidth="1"/>
    <col min="11" max="11" width="19.5703125" customWidth="1"/>
    <col min="12" max="12" width="13.28515625" customWidth="1"/>
    <col min="13" max="13" width="8.42578125" customWidth="1"/>
    <col min="14" max="14" width="8.140625" hidden="1" customWidth="1"/>
    <col min="15" max="15" width="8.85546875" hidden="1" customWidth="1"/>
    <col min="16" max="16" width="7.140625" hidden="1" customWidth="1"/>
    <col min="17" max="17" width="7.5703125" customWidth="1"/>
    <col min="18" max="18" width="7.42578125" hidden="1" customWidth="1"/>
    <col min="19" max="19" width="20.85546875" customWidth="1"/>
    <col min="20" max="22" width="20.85546875" hidden="1" customWidth="1"/>
    <col min="23" max="23" width="19.28515625" hidden="1" customWidth="1"/>
    <col min="24" max="24" width="22.85546875" hidden="1" customWidth="1"/>
    <col min="25" max="25" width="19.85546875" hidden="1" customWidth="1"/>
    <col min="26" max="26" width="16.42578125" hidden="1" customWidth="1"/>
    <col min="27" max="30" width="24.42578125" hidden="1" customWidth="1"/>
    <col min="31" max="31" width="29.28515625" customWidth="1"/>
    <col min="32" max="32" width="17.7109375" style="2" customWidth="1"/>
    <col min="33" max="33" width="35.85546875" customWidth="1"/>
    <col min="34" max="34" width="28.140625" hidden="1" customWidth="1"/>
    <col min="35" max="35" width="18.140625" hidden="1" customWidth="1"/>
    <col min="36" max="36" width="1.42578125" hidden="1" customWidth="1"/>
  </cols>
  <sheetData>
    <row r="1" spans="1:36" x14ac:dyDescent="0.25">
      <c r="V1" s="1"/>
      <c r="W1" t="s">
        <v>0</v>
      </c>
    </row>
    <row r="2" spans="1:36" ht="23.25" x14ac:dyDescent="0.35">
      <c r="B2" s="3"/>
      <c r="C2" s="3"/>
      <c r="D2" s="3"/>
      <c r="E2" s="3"/>
      <c r="F2" s="3"/>
      <c r="G2" s="4" t="s">
        <v>1</v>
      </c>
      <c r="H2" s="3"/>
      <c r="I2" s="3"/>
      <c r="J2" s="3"/>
      <c r="K2" s="3"/>
      <c r="L2" s="3"/>
      <c r="M2" s="3"/>
      <c r="N2" s="3"/>
      <c r="O2" s="3"/>
      <c r="P2" s="3"/>
      <c r="Q2" s="3"/>
      <c r="R2" s="3"/>
      <c r="S2" s="3"/>
      <c r="V2" s="5"/>
      <c r="W2" t="s">
        <v>2</v>
      </c>
      <c r="AB2" s="6"/>
      <c r="AC2" t="s">
        <v>3</v>
      </c>
    </row>
    <row r="3" spans="1:36" ht="23.25" x14ac:dyDescent="0.35">
      <c r="B3" s="3"/>
      <c r="C3" s="3"/>
      <c r="D3" s="3"/>
      <c r="E3" s="3"/>
      <c r="F3" s="3"/>
      <c r="G3" s="4" t="s">
        <v>4</v>
      </c>
      <c r="H3" s="3"/>
      <c r="I3" s="3"/>
      <c r="J3" s="3"/>
      <c r="K3" s="3"/>
      <c r="L3" s="3"/>
      <c r="M3" s="3"/>
      <c r="N3" s="3"/>
      <c r="O3" s="3"/>
      <c r="P3" s="3"/>
      <c r="Q3" s="3"/>
      <c r="R3" s="3"/>
      <c r="S3" s="3"/>
      <c r="V3" s="7"/>
      <c r="W3" t="s">
        <v>5</v>
      </c>
      <c r="AB3" s="8"/>
      <c r="AC3" t="s">
        <v>6</v>
      </c>
    </row>
    <row r="4" spans="1:36" ht="23.25" x14ac:dyDescent="0.35">
      <c r="B4" s="3"/>
      <c r="C4" s="3"/>
      <c r="D4" s="3"/>
      <c r="E4" s="3"/>
      <c r="F4" s="3"/>
      <c r="G4" s="4" t="s">
        <v>7</v>
      </c>
      <c r="H4" s="3"/>
      <c r="I4" s="3"/>
      <c r="J4" s="3"/>
      <c r="K4" s="3"/>
      <c r="L4" s="3"/>
      <c r="M4" s="3"/>
      <c r="N4" s="3"/>
      <c r="O4" s="3"/>
      <c r="P4" s="3"/>
      <c r="Q4" s="3"/>
      <c r="R4" s="3"/>
      <c r="S4" s="3"/>
      <c r="V4" s="9"/>
      <c r="W4" t="s">
        <v>8</v>
      </c>
      <c r="AB4" s="10"/>
      <c r="AC4" t="s">
        <v>9</v>
      </c>
    </row>
    <row r="5" spans="1:36" ht="23.25" x14ac:dyDescent="0.35">
      <c r="B5" s="11"/>
      <c r="G5" s="4"/>
      <c r="H5" s="511"/>
      <c r="I5" s="511"/>
      <c r="J5" s="511"/>
      <c r="K5" s="511"/>
      <c r="L5" s="511"/>
      <c r="M5" s="511"/>
      <c r="N5" s="511"/>
      <c r="O5" s="511"/>
      <c r="P5" s="511"/>
      <c r="Q5" s="511"/>
      <c r="R5" s="511"/>
      <c r="S5" s="511"/>
      <c r="T5" s="511"/>
      <c r="V5" s="12"/>
      <c r="W5" t="s">
        <v>11</v>
      </c>
      <c r="AB5" s="13"/>
      <c r="AC5" t="s">
        <v>12</v>
      </c>
    </row>
    <row r="6" spans="1:36" ht="23.25" x14ac:dyDescent="0.35">
      <c r="B6" s="11"/>
      <c r="G6" s="4" t="s">
        <v>2224</v>
      </c>
    </row>
    <row r="7" spans="1:36" ht="21" x14ac:dyDescent="0.35">
      <c r="A7" s="14"/>
      <c r="B7" s="15"/>
      <c r="C7" s="14"/>
      <c r="D7" s="14"/>
      <c r="E7" s="14"/>
      <c r="F7" s="14"/>
      <c r="V7" s="447" t="s">
        <v>13</v>
      </c>
      <c r="W7" s="448"/>
      <c r="X7" s="449"/>
      <c r="Y7" s="450" t="s">
        <v>13</v>
      </c>
      <c r="Z7" s="451"/>
      <c r="AA7" s="452"/>
      <c r="AB7" s="453" t="s">
        <v>13</v>
      </c>
      <c r="AC7" s="453"/>
      <c r="AD7" s="453"/>
      <c r="AE7" s="454" t="s">
        <v>13</v>
      </c>
      <c r="AF7" s="455"/>
      <c r="AG7" s="456"/>
      <c r="AH7" s="454" t="s">
        <v>13</v>
      </c>
      <c r="AI7" s="455"/>
      <c r="AJ7" s="456"/>
    </row>
    <row r="8" spans="1:36" ht="30" customHeight="1" x14ac:dyDescent="0.25">
      <c r="A8" s="432" t="s">
        <v>14</v>
      </c>
      <c r="B8" s="432"/>
      <c r="C8" s="432"/>
      <c r="D8" s="432"/>
      <c r="E8" s="432"/>
      <c r="F8" s="433"/>
      <c r="G8" s="434" t="s">
        <v>15</v>
      </c>
      <c r="H8" s="434"/>
      <c r="I8" s="434"/>
      <c r="J8" s="434"/>
      <c r="K8" s="434"/>
      <c r="L8" s="434"/>
      <c r="M8" s="434"/>
      <c r="N8" s="434"/>
      <c r="O8" s="434"/>
      <c r="P8" s="434"/>
      <c r="Q8" s="434"/>
      <c r="R8" s="434"/>
      <c r="S8" s="434"/>
      <c r="T8" s="434"/>
      <c r="U8" s="434"/>
      <c r="V8" s="435" t="s">
        <v>16</v>
      </c>
      <c r="W8" s="436"/>
      <c r="X8" s="437"/>
      <c r="Y8" s="438" t="s">
        <v>17</v>
      </c>
      <c r="Z8" s="439"/>
      <c r="AA8" s="440"/>
      <c r="AB8" s="441" t="s">
        <v>18</v>
      </c>
      <c r="AC8" s="442"/>
      <c r="AD8" s="443"/>
      <c r="AE8" s="444" t="s">
        <v>19</v>
      </c>
      <c r="AF8" s="445"/>
      <c r="AG8" s="446"/>
      <c r="AH8" s="424" t="s">
        <v>20</v>
      </c>
      <c r="AI8" s="425"/>
      <c r="AJ8" s="426"/>
    </row>
    <row r="9" spans="1:36" s="18" customFormat="1" ht="15" customHeight="1" x14ac:dyDescent="0.25">
      <c r="A9" s="427" t="s">
        <v>21</v>
      </c>
      <c r="B9" s="427" t="s">
        <v>22</v>
      </c>
      <c r="C9" s="427" t="s">
        <v>23</v>
      </c>
      <c r="D9" s="429" t="s">
        <v>24</v>
      </c>
      <c r="E9" s="429"/>
      <c r="F9" s="427" t="s">
        <v>25</v>
      </c>
      <c r="G9" s="582" t="s">
        <v>26</v>
      </c>
      <c r="H9" s="582" t="s">
        <v>22</v>
      </c>
      <c r="I9" s="420" t="s">
        <v>27</v>
      </c>
      <c r="J9" s="420" t="s">
        <v>28</v>
      </c>
      <c r="K9" s="420" t="s">
        <v>29</v>
      </c>
      <c r="L9" s="420" t="s">
        <v>23</v>
      </c>
      <c r="M9" s="422" t="s">
        <v>30</v>
      </c>
      <c r="N9" s="16" t="s">
        <v>24</v>
      </c>
      <c r="O9" s="16"/>
      <c r="P9" s="16"/>
      <c r="Q9" s="16"/>
      <c r="R9" s="16"/>
      <c r="S9" s="420" t="s">
        <v>25</v>
      </c>
      <c r="T9" s="422" t="s">
        <v>31</v>
      </c>
      <c r="U9" s="422" t="s">
        <v>32</v>
      </c>
      <c r="V9" s="416" t="s">
        <v>33</v>
      </c>
      <c r="W9" s="416" t="s">
        <v>34</v>
      </c>
      <c r="X9" s="416" t="s">
        <v>35</v>
      </c>
      <c r="Y9" s="17" t="s">
        <v>36</v>
      </c>
      <c r="Z9" s="418" t="s">
        <v>37</v>
      </c>
      <c r="AA9" s="418" t="s">
        <v>38</v>
      </c>
      <c r="AB9" s="410" t="s">
        <v>39</v>
      </c>
      <c r="AC9" s="410" t="s">
        <v>40</v>
      </c>
      <c r="AD9" s="410" t="s">
        <v>41</v>
      </c>
      <c r="AE9" s="412" t="s">
        <v>42</v>
      </c>
      <c r="AF9" s="580" t="s">
        <v>43</v>
      </c>
      <c r="AG9" s="412" t="s">
        <v>44</v>
      </c>
      <c r="AH9" s="404" t="s">
        <v>45</v>
      </c>
      <c r="AI9" s="404" t="s">
        <v>46</v>
      </c>
      <c r="AJ9" s="404" t="s">
        <v>47</v>
      </c>
    </row>
    <row r="10" spans="1:36" s="18" customFormat="1" ht="48.75" customHeight="1" x14ac:dyDescent="0.25">
      <c r="A10" s="428"/>
      <c r="B10" s="428"/>
      <c r="C10" s="428"/>
      <c r="D10" s="19" t="s">
        <v>48</v>
      </c>
      <c r="E10" s="19" t="s">
        <v>49</v>
      </c>
      <c r="F10" s="428"/>
      <c r="G10" s="469"/>
      <c r="H10" s="469"/>
      <c r="I10" s="421" t="s">
        <v>27</v>
      </c>
      <c r="J10" s="421" t="s">
        <v>28</v>
      </c>
      <c r="K10" s="421" t="s">
        <v>29</v>
      </c>
      <c r="L10" s="421" t="s">
        <v>23</v>
      </c>
      <c r="M10" s="423"/>
      <c r="N10" s="20">
        <v>2012</v>
      </c>
      <c r="O10" s="20">
        <v>2013</v>
      </c>
      <c r="P10" s="20">
        <v>2014</v>
      </c>
      <c r="Q10" s="20">
        <v>2015</v>
      </c>
      <c r="R10" s="20">
        <v>2016</v>
      </c>
      <c r="S10" s="421" t="s">
        <v>25</v>
      </c>
      <c r="T10" s="423"/>
      <c r="U10" s="423"/>
      <c r="V10" s="417"/>
      <c r="W10" s="417"/>
      <c r="X10" s="417"/>
      <c r="Y10" s="21" t="s">
        <v>36</v>
      </c>
      <c r="Z10" s="417"/>
      <c r="AA10" s="419"/>
      <c r="AB10" s="411"/>
      <c r="AC10" s="411" t="s">
        <v>33</v>
      </c>
      <c r="AD10" s="411" t="s">
        <v>33</v>
      </c>
      <c r="AE10" s="413"/>
      <c r="AF10" s="581"/>
      <c r="AG10" s="413"/>
      <c r="AH10" s="405"/>
      <c r="AI10" s="405"/>
      <c r="AJ10" s="405"/>
    </row>
    <row r="11" spans="1:36" s="18" customFormat="1" ht="187.5" hidden="1" customHeight="1" x14ac:dyDescent="0.25">
      <c r="A11" s="406" t="s">
        <v>50</v>
      </c>
      <c r="B11" s="385" t="s">
        <v>51</v>
      </c>
      <c r="C11" s="384" t="s">
        <v>52</v>
      </c>
      <c r="D11" s="22">
        <v>40909</v>
      </c>
      <c r="E11" s="22">
        <v>44896</v>
      </c>
      <c r="F11" s="408" t="s">
        <v>53</v>
      </c>
      <c r="G11" s="23" t="s">
        <v>54</v>
      </c>
      <c r="H11" s="385" t="s">
        <v>55</v>
      </c>
      <c r="I11" s="385" t="s">
        <v>56</v>
      </c>
      <c r="J11" s="24" t="s">
        <v>57</v>
      </c>
      <c r="K11" s="25" t="s">
        <v>58</v>
      </c>
      <c r="L11" s="25" t="s">
        <v>59</v>
      </c>
      <c r="M11" s="26">
        <v>0.5</v>
      </c>
      <c r="N11" s="27"/>
      <c r="O11" s="28"/>
      <c r="P11" s="29"/>
      <c r="Q11" s="30"/>
      <c r="R11" s="31">
        <v>1</v>
      </c>
      <c r="S11" s="25" t="s">
        <v>60</v>
      </c>
      <c r="T11" s="32"/>
      <c r="U11" s="33" t="s">
        <v>61</v>
      </c>
      <c r="V11" s="34" t="s">
        <v>62</v>
      </c>
      <c r="W11" s="35">
        <v>0.75</v>
      </c>
      <c r="X11" s="36" t="s">
        <v>63</v>
      </c>
      <c r="Y11" s="37" t="s">
        <v>64</v>
      </c>
      <c r="Z11" s="35">
        <v>0</v>
      </c>
      <c r="AA11" s="36"/>
      <c r="AB11" s="38"/>
      <c r="AC11" s="39"/>
      <c r="AD11" s="40"/>
      <c r="AE11" s="41"/>
      <c r="AF11" s="42"/>
      <c r="AG11" s="40"/>
      <c r="AH11" s="40"/>
      <c r="AI11" s="40"/>
      <c r="AJ11" s="40"/>
    </row>
    <row r="12" spans="1:36" ht="75" hidden="1" customHeight="1" x14ac:dyDescent="0.25">
      <c r="A12" s="407"/>
      <c r="B12" s="388"/>
      <c r="C12" s="388"/>
      <c r="D12" s="38"/>
      <c r="E12" s="38"/>
      <c r="F12" s="408"/>
      <c r="G12" s="43" t="s">
        <v>54</v>
      </c>
      <c r="H12" s="385"/>
      <c r="I12" s="385"/>
      <c r="J12" s="44"/>
      <c r="K12" s="45" t="s">
        <v>65</v>
      </c>
      <c r="L12" s="45" t="s">
        <v>66</v>
      </c>
      <c r="M12" s="46">
        <v>0.5</v>
      </c>
      <c r="N12" s="47"/>
      <c r="O12" s="28"/>
      <c r="P12" s="28"/>
      <c r="Q12" s="29"/>
      <c r="R12" s="28"/>
      <c r="S12" s="45" t="s">
        <v>60</v>
      </c>
      <c r="T12" s="40"/>
      <c r="U12" s="36"/>
      <c r="V12" s="34"/>
      <c r="W12" s="35"/>
      <c r="X12" s="36"/>
      <c r="Y12" s="40"/>
      <c r="Z12" s="36"/>
      <c r="AA12" s="36"/>
      <c r="AB12" s="48" t="s">
        <v>67</v>
      </c>
      <c r="AC12" s="39"/>
      <c r="AD12" s="40"/>
      <c r="AE12" s="9" t="s">
        <v>68</v>
      </c>
      <c r="AF12" s="42"/>
      <c r="AG12" s="40"/>
      <c r="AH12" s="40"/>
      <c r="AI12" s="40"/>
      <c r="AJ12" s="40"/>
    </row>
    <row r="13" spans="1:36" ht="201" hidden="1" customHeight="1" x14ac:dyDescent="0.25">
      <c r="A13" s="407"/>
      <c r="B13" s="389"/>
      <c r="C13" s="389"/>
      <c r="D13" s="38"/>
      <c r="E13" s="38"/>
      <c r="F13" s="409"/>
      <c r="G13" s="43" t="s">
        <v>54</v>
      </c>
      <c r="H13" s="385"/>
      <c r="I13" s="385"/>
      <c r="J13" s="49" t="s">
        <v>69</v>
      </c>
      <c r="K13" s="45" t="s">
        <v>70</v>
      </c>
      <c r="L13" s="45" t="s">
        <v>71</v>
      </c>
      <c r="M13" s="46">
        <v>1</v>
      </c>
      <c r="N13" s="47"/>
      <c r="O13" s="28"/>
      <c r="P13" s="50"/>
      <c r="Q13" s="28"/>
      <c r="R13" s="28"/>
      <c r="S13" s="45" t="s">
        <v>60</v>
      </c>
      <c r="T13" s="40"/>
      <c r="U13" s="36" t="s">
        <v>72</v>
      </c>
      <c r="V13" s="34"/>
      <c r="W13" s="35"/>
      <c r="X13" s="36"/>
      <c r="Y13" s="36"/>
      <c r="Z13" s="36"/>
      <c r="AA13" s="36"/>
      <c r="AB13" s="37" t="s">
        <v>73</v>
      </c>
      <c r="AC13" s="39" t="s">
        <v>74</v>
      </c>
      <c r="AD13" s="40"/>
      <c r="AE13" s="9" t="s">
        <v>68</v>
      </c>
      <c r="AF13" s="42"/>
      <c r="AG13" s="40"/>
      <c r="AH13" s="40"/>
      <c r="AI13" s="40"/>
      <c r="AJ13" s="40"/>
    </row>
    <row r="14" spans="1:36" s="18" customFormat="1" ht="272.25" hidden="1" customHeight="1" x14ac:dyDescent="0.25">
      <c r="A14" s="407"/>
      <c r="B14" s="45"/>
      <c r="C14" s="45" t="s">
        <v>98</v>
      </c>
      <c r="D14" s="61">
        <v>40909</v>
      </c>
      <c r="E14" s="61">
        <v>44896</v>
      </c>
      <c r="F14" s="43" t="s">
        <v>53</v>
      </c>
      <c r="G14" s="62" t="s">
        <v>54</v>
      </c>
      <c r="H14" s="38"/>
      <c r="I14" s="38"/>
      <c r="J14" s="63" t="s">
        <v>99</v>
      </c>
      <c r="K14" s="64" t="s">
        <v>100</v>
      </c>
      <c r="L14" s="64" t="s">
        <v>101</v>
      </c>
      <c r="M14" s="65">
        <v>0.4</v>
      </c>
      <c r="N14" s="66"/>
      <c r="O14" s="65"/>
      <c r="P14" s="67"/>
      <c r="Q14" s="68"/>
      <c r="R14" s="68"/>
      <c r="S14" s="64" t="s">
        <v>60</v>
      </c>
      <c r="T14" s="64" t="s">
        <v>102</v>
      </c>
      <c r="U14" s="64" t="s">
        <v>103</v>
      </c>
      <c r="V14" s="34"/>
      <c r="W14" s="35"/>
      <c r="X14" s="36"/>
      <c r="Y14" s="36" t="s">
        <v>104</v>
      </c>
      <c r="Z14" s="36"/>
      <c r="AA14" s="36"/>
      <c r="AB14" s="36" t="s">
        <v>104</v>
      </c>
      <c r="AC14" s="34" t="s">
        <v>105</v>
      </c>
      <c r="AD14" s="40"/>
      <c r="AE14" s="9" t="s">
        <v>68</v>
      </c>
      <c r="AF14" s="42"/>
      <c r="AG14" s="40"/>
      <c r="AH14" s="36"/>
      <c r="AI14" s="36"/>
      <c r="AJ14" s="36"/>
    </row>
    <row r="15" spans="1:36" ht="207.75" hidden="1" customHeight="1" x14ac:dyDescent="0.25">
      <c r="A15" s="407"/>
      <c r="B15" s="45"/>
      <c r="C15" s="45" t="s">
        <v>106</v>
      </c>
      <c r="D15" s="61">
        <v>40909</v>
      </c>
      <c r="E15" s="61">
        <v>44896</v>
      </c>
      <c r="F15" s="43" t="s">
        <v>53</v>
      </c>
      <c r="G15" s="62" t="s">
        <v>54</v>
      </c>
      <c r="H15" s="38"/>
      <c r="I15" s="38"/>
      <c r="J15" s="45"/>
      <c r="K15" s="64" t="s">
        <v>107</v>
      </c>
      <c r="L15" s="64" t="s">
        <v>108</v>
      </c>
      <c r="M15" s="65">
        <v>0.6</v>
      </c>
      <c r="N15" s="47"/>
      <c r="O15" s="28"/>
      <c r="P15" s="65"/>
      <c r="Q15" s="65"/>
      <c r="R15" s="65"/>
      <c r="S15" s="64" t="s">
        <v>60</v>
      </c>
      <c r="T15" s="64" t="s">
        <v>102</v>
      </c>
      <c r="U15" s="64" t="s">
        <v>103</v>
      </c>
      <c r="V15" s="34"/>
      <c r="W15" s="35"/>
      <c r="X15" s="36"/>
      <c r="Y15" s="40"/>
      <c r="Z15" s="36"/>
      <c r="AA15" s="36"/>
      <c r="AB15" s="38" t="s">
        <v>67</v>
      </c>
      <c r="AC15" s="39"/>
      <c r="AD15" s="40"/>
      <c r="AE15" s="9" t="s">
        <v>68</v>
      </c>
      <c r="AF15" s="42"/>
      <c r="AG15" s="40"/>
      <c r="AH15" s="36"/>
      <c r="AI15" s="36"/>
      <c r="AJ15" s="36"/>
    </row>
    <row r="16" spans="1:36" ht="156" hidden="1" customHeight="1" x14ac:dyDescent="0.25">
      <c r="A16" s="407"/>
      <c r="B16" s="45"/>
      <c r="C16" s="45" t="s">
        <v>109</v>
      </c>
      <c r="D16" s="69">
        <v>40909</v>
      </c>
      <c r="E16" s="69">
        <v>44896</v>
      </c>
      <c r="F16" s="43" t="s">
        <v>53</v>
      </c>
      <c r="G16" s="62" t="s">
        <v>54</v>
      </c>
      <c r="H16" s="38"/>
      <c r="I16" s="38"/>
      <c r="J16" s="63" t="s">
        <v>110</v>
      </c>
      <c r="K16" s="64" t="s">
        <v>111</v>
      </c>
      <c r="L16" s="64" t="s">
        <v>112</v>
      </c>
      <c r="M16" s="65">
        <v>1</v>
      </c>
      <c r="N16" s="47"/>
      <c r="O16" s="28"/>
      <c r="P16" s="65"/>
      <c r="Q16" s="65"/>
      <c r="R16" s="65"/>
      <c r="S16" s="64" t="s">
        <v>60</v>
      </c>
      <c r="T16" s="64" t="s">
        <v>102</v>
      </c>
      <c r="U16" s="64" t="s">
        <v>103</v>
      </c>
      <c r="V16" s="34"/>
      <c r="W16" s="70"/>
      <c r="X16" s="71"/>
      <c r="Y16" s="72"/>
      <c r="Z16" s="71"/>
      <c r="AA16" s="71"/>
      <c r="AB16" s="38" t="s">
        <v>67</v>
      </c>
      <c r="AC16" s="39"/>
      <c r="AD16" s="40"/>
      <c r="AE16" s="9" t="s">
        <v>68</v>
      </c>
      <c r="AF16" s="42"/>
      <c r="AG16" s="40"/>
      <c r="AH16" s="36"/>
      <c r="AI16" s="36"/>
      <c r="AJ16" s="36"/>
    </row>
    <row r="17" spans="1:36" ht="106.5" hidden="1" customHeight="1" x14ac:dyDescent="0.25">
      <c r="A17" s="33"/>
      <c r="B17" s="25" t="s">
        <v>113</v>
      </c>
      <c r="C17" s="25" t="s">
        <v>114</v>
      </c>
      <c r="D17" s="22">
        <v>40909</v>
      </c>
      <c r="E17" s="22">
        <v>44896</v>
      </c>
      <c r="F17" s="25" t="s">
        <v>115</v>
      </c>
      <c r="G17" s="23" t="s">
        <v>54</v>
      </c>
      <c r="H17" s="73"/>
      <c r="I17" s="25"/>
      <c r="J17" s="25" t="s">
        <v>116</v>
      </c>
      <c r="K17" s="25" t="s">
        <v>117</v>
      </c>
      <c r="L17" s="25" t="s">
        <v>118</v>
      </c>
      <c r="M17" s="26">
        <v>0.4</v>
      </c>
      <c r="N17" s="74"/>
      <c r="O17" s="75">
        <v>1</v>
      </c>
      <c r="P17" s="26"/>
      <c r="Q17" s="26"/>
      <c r="R17" s="26"/>
      <c r="S17" s="25" t="s">
        <v>119</v>
      </c>
      <c r="T17" s="76" t="s">
        <v>120</v>
      </c>
      <c r="U17" s="33" t="s">
        <v>121</v>
      </c>
      <c r="V17" s="34"/>
      <c r="W17" s="35"/>
      <c r="X17" s="36"/>
      <c r="Y17" s="77" t="s">
        <v>122</v>
      </c>
      <c r="Z17" s="35">
        <v>0.35</v>
      </c>
      <c r="AA17" s="78" t="s">
        <v>123</v>
      </c>
      <c r="AB17" s="38"/>
      <c r="AC17" s="39"/>
      <c r="AD17" s="40"/>
      <c r="AE17" s="40"/>
      <c r="AF17" s="42" t="s">
        <v>124</v>
      </c>
      <c r="AG17" s="40"/>
      <c r="AH17" s="36"/>
      <c r="AI17" s="36"/>
      <c r="AJ17" s="36"/>
    </row>
    <row r="18" spans="1:36" ht="107.25" hidden="1" customHeight="1" x14ac:dyDescent="0.25">
      <c r="A18" s="33"/>
      <c r="B18" s="45"/>
      <c r="C18" s="45"/>
      <c r="D18" s="69"/>
      <c r="E18" s="69"/>
      <c r="F18" s="45"/>
      <c r="G18" s="43" t="s">
        <v>54</v>
      </c>
      <c r="H18" s="38"/>
      <c r="I18" s="45"/>
      <c r="J18" s="45"/>
      <c r="K18" s="64" t="s">
        <v>125</v>
      </c>
      <c r="L18" s="64" t="s">
        <v>108</v>
      </c>
      <c r="M18" s="65">
        <v>0.6</v>
      </c>
      <c r="N18" s="65"/>
      <c r="O18" s="65"/>
      <c r="P18" s="65"/>
      <c r="Q18" s="65"/>
      <c r="R18" s="79">
        <v>0.25</v>
      </c>
      <c r="S18" s="64" t="s">
        <v>60</v>
      </c>
      <c r="T18" s="73" t="s">
        <v>120</v>
      </c>
      <c r="U18" s="80" t="s">
        <v>121</v>
      </c>
      <c r="V18" s="34"/>
      <c r="W18" s="35"/>
      <c r="X18" s="36"/>
      <c r="Y18" s="36"/>
      <c r="Z18" s="36"/>
      <c r="AA18" s="36"/>
      <c r="AB18" s="77" t="s">
        <v>126</v>
      </c>
      <c r="AC18" s="39"/>
      <c r="AD18" s="40"/>
      <c r="AE18" s="9" t="s">
        <v>127</v>
      </c>
      <c r="AF18" s="42"/>
      <c r="AG18" s="40"/>
      <c r="AH18" s="36" t="s">
        <v>128</v>
      </c>
      <c r="AI18" s="36"/>
      <c r="AJ18" s="36"/>
    </row>
    <row r="19" spans="1:36" s="87" customFormat="1" ht="201.75" hidden="1" customHeight="1" x14ac:dyDescent="0.25">
      <c r="A19" s="402" t="s">
        <v>50</v>
      </c>
      <c r="B19" s="384" t="s">
        <v>129</v>
      </c>
      <c r="C19" s="45" t="s">
        <v>130</v>
      </c>
      <c r="D19" s="81">
        <v>40909</v>
      </c>
      <c r="E19" s="81">
        <v>44896</v>
      </c>
      <c r="F19" s="82" t="s">
        <v>115</v>
      </c>
      <c r="G19" s="62" t="s">
        <v>54</v>
      </c>
      <c r="H19" s="64" t="s">
        <v>131</v>
      </c>
      <c r="I19" s="38"/>
      <c r="J19" s="63" t="s">
        <v>132</v>
      </c>
      <c r="K19" s="64" t="s">
        <v>133</v>
      </c>
      <c r="L19" s="64" t="s">
        <v>134</v>
      </c>
      <c r="M19" s="65">
        <v>0.4</v>
      </c>
      <c r="N19" s="83"/>
      <c r="O19" s="65">
        <v>1</v>
      </c>
      <c r="P19" s="83"/>
      <c r="Q19" s="83"/>
      <c r="R19" s="83"/>
      <c r="S19" s="84" t="s">
        <v>115</v>
      </c>
      <c r="T19" s="73" t="s">
        <v>135</v>
      </c>
      <c r="U19" s="73" t="s">
        <v>136</v>
      </c>
      <c r="V19" s="85"/>
      <c r="W19" s="35"/>
      <c r="X19" s="36"/>
      <c r="Y19" s="72" t="s">
        <v>137</v>
      </c>
      <c r="Z19" s="26">
        <v>0.25</v>
      </c>
      <c r="AA19" s="78" t="s">
        <v>138</v>
      </c>
      <c r="AB19" s="38"/>
      <c r="AC19" s="34" t="s">
        <v>139</v>
      </c>
      <c r="AD19" s="38"/>
      <c r="AE19" s="38"/>
      <c r="AF19" s="86"/>
      <c r="AG19" s="38"/>
      <c r="AH19" s="45"/>
      <c r="AI19" s="45"/>
      <c r="AJ19" s="45"/>
    </row>
    <row r="20" spans="1:36" s="87" customFormat="1" ht="315" customHeight="1" x14ac:dyDescent="0.25">
      <c r="A20" s="402"/>
      <c r="B20" s="385"/>
      <c r="C20" s="45"/>
      <c r="D20" s="81"/>
      <c r="E20" s="81"/>
      <c r="F20" s="82"/>
      <c r="G20" s="62" t="s">
        <v>54</v>
      </c>
      <c r="H20" s="38"/>
      <c r="I20" s="38"/>
      <c r="J20" s="64"/>
      <c r="K20" s="64" t="s">
        <v>140</v>
      </c>
      <c r="L20" s="64" t="s">
        <v>141</v>
      </c>
      <c r="M20" s="65">
        <v>0.6</v>
      </c>
      <c r="N20" s="83"/>
      <c r="O20" s="83"/>
      <c r="P20" s="88"/>
      <c r="Q20" s="89">
        <v>0.5</v>
      </c>
      <c r="R20" s="79">
        <v>0.5</v>
      </c>
      <c r="S20" s="84" t="s">
        <v>115</v>
      </c>
      <c r="T20" s="73" t="s">
        <v>135</v>
      </c>
      <c r="U20" s="73" t="s">
        <v>136</v>
      </c>
      <c r="V20" s="85"/>
      <c r="W20" s="35"/>
      <c r="X20" s="36"/>
      <c r="Y20" s="36"/>
      <c r="Z20" s="36"/>
      <c r="AA20" s="36"/>
      <c r="AB20" s="90" t="s">
        <v>142</v>
      </c>
      <c r="AC20" s="34" t="s">
        <v>84</v>
      </c>
      <c r="AD20" s="38"/>
      <c r="AE20" s="90" t="s">
        <v>143</v>
      </c>
      <c r="AF20" s="46">
        <v>0.33</v>
      </c>
      <c r="AG20" s="90" t="s">
        <v>144</v>
      </c>
      <c r="AH20" s="45" t="s">
        <v>145</v>
      </c>
      <c r="AI20" s="45"/>
      <c r="AJ20" s="45"/>
    </row>
    <row r="21" spans="1:36" s="87" customFormat="1" ht="108" hidden="1" customHeight="1" x14ac:dyDescent="0.25">
      <c r="A21" s="402"/>
      <c r="B21" s="385"/>
      <c r="C21" s="45" t="s">
        <v>146</v>
      </c>
      <c r="D21" s="81">
        <v>40909</v>
      </c>
      <c r="E21" s="81">
        <v>44896</v>
      </c>
      <c r="F21" s="82" t="s">
        <v>115</v>
      </c>
      <c r="G21" s="62" t="s">
        <v>54</v>
      </c>
      <c r="H21" s="38"/>
      <c r="I21" s="38"/>
      <c r="J21" s="63" t="s">
        <v>147</v>
      </c>
      <c r="K21" s="64" t="s">
        <v>148</v>
      </c>
      <c r="L21" s="64" t="s">
        <v>149</v>
      </c>
      <c r="M21" s="65">
        <v>1</v>
      </c>
      <c r="N21" s="83"/>
      <c r="O21" s="91">
        <v>1</v>
      </c>
      <c r="P21" s="83"/>
      <c r="Q21" s="83"/>
      <c r="R21" s="83"/>
      <c r="S21" s="84" t="s">
        <v>115</v>
      </c>
      <c r="T21" s="73" t="s">
        <v>135</v>
      </c>
      <c r="U21" s="73" t="s">
        <v>136</v>
      </c>
      <c r="V21" s="85"/>
      <c r="W21" s="35"/>
      <c r="X21" s="36"/>
      <c r="Y21" s="36" t="s">
        <v>150</v>
      </c>
      <c r="Z21" s="35">
        <v>1</v>
      </c>
      <c r="AA21" s="36"/>
      <c r="AB21" s="38"/>
      <c r="AC21" s="92"/>
      <c r="AD21" s="38"/>
      <c r="AE21" s="38"/>
      <c r="AF21" s="86"/>
      <c r="AG21" s="38"/>
      <c r="AH21" s="45"/>
      <c r="AI21" s="45"/>
      <c r="AJ21" s="45"/>
    </row>
    <row r="22" spans="1:36" s="87" customFormat="1" ht="111" hidden="1" customHeight="1" x14ac:dyDescent="0.25">
      <c r="A22" s="402"/>
      <c r="B22" s="385"/>
      <c r="C22" s="45" t="s">
        <v>151</v>
      </c>
      <c r="D22" s="81">
        <v>40909</v>
      </c>
      <c r="E22" s="81">
        <v>44896</v>
      </c>
      <c r="F22" s="82" t="s">
        <v>115</v>
      </c>
      <c r="G22" s="62" t="s">
        <v>54</v>
      </c>
      <c r="H22" s="38"/>
      <c r="I22" s="38"/>
      <c r="J22" s="63" t="s">
        <v>152</v>
      </c>
      <c r="K22" s="64" t="s">
        <v>153</v>
      </c>
      <c r="L22" s="64" t="s">
        <v>154</v>
      </c>
      <c r="M22" s="65">
        <v>0.4</v>
      </c>
      <c r="N22" s="65">
        <v>1</v>
      </c>
      <c r="O22" s="83"/>
      <c r="P22" s="83"/>
      <c r="Q22" s="83"/>
      <c r="R22" s="83"/>
      <c r="S22" s="84" t="s">
        <v>115</v>
      </c>
      <c r="T22" s="73" t="s">
        <v>135</v>
      </c>
      <c r="U22" s="73" t="s">
        <v>136</v>
      </c>
      <c r="V22" s="85"/>
      <c r="W22" s="35">
        <v>1</v>
      </c>
      <c r="X22" s="36"/>
      <c r="Y22" s="36"/>
      <c r="Z22" s="36"/>
      <c r="AA22" s="36"/>
      <c r="AB22" s="38"/>
      <c r="AC22" s="92"/>
      <c r="AD22" s="38"/>
      <c r="AE22" s="38"/>
      <c r="AF22" s="86"/>
      <c r="AG22" s="38"/>
      <c r="AH22" s="45"/>
      <c r="AI22" s="45"/>
      <c r="AJ22" s="45"/>
    </row>
    <row r="23" spans="1:36" s="87" customFormat="1" ht="100.5" hidden="1" customHeight="1" x14ac:dyDescent="0.25">
      <c r="A23" s="402"/>
      <c r="B23" s="385"/>
      <c r="C23" s="45"/>
      <c r="D23" s="81"/>
      <c r="E23" s="81"/>
      <c r="F23" s="82"/>
      <c r="G23" s="62" t="s">
        <v>54</v>
      </c>
      <c r="H23" s="38"/>
      <c r="I23" s="38"/>
      <c r="J23" s="83"/>
      <c r="K23" s="64" t="s">
        <v>155</v>
      </c>
      <c r="L23" s="64" t="s">
        <v>156</v>
      </c>
      <c r="M23" s="65">
        <v>0.6</v>
      </c>
      <c r="N23" s="65"/>
      <c r="O23" s="65">
        <v>1</v>
      </c>
      <c r="P23" s="65"/>
      <c r="Q23" s="65"/>
      <c r="R23" s="65"/>
      <c r="S23" s="84" t="s">
        <v>115</v>
      </c>
      <c r="T23" s="73" t="s">
        <v>135</v>
      </c>
      <c r="U23" s="73" t="s">
        <v>136</v>
      </c>
      <c r="V23" s="85"/>
      <c r="W23" s="35"/>
      <c r="X23" s="36"/>
      <c r="Y23" s="72" t="s">
        <v>157</v>
      </c>
      <c r="Z23" s="35">
        <v>1</v>
      </c>
      <c r="AA23" s="36"/>
      <c r="AB23" s="38"/>
      <c r="AC23" s="92"/>
      <c r="AD23" s="38"/>
      <c r="AE23" s="38"/>
      <c r="AF23" s="86"/>
      <c r="AG23" s="38"/>
      <c r="AH23" s="45"/>
      <c r="AI23" s="45"/>
      <c r="AJ23" s="45"/>
    </row>
    <row r="24" spans="1:36" s="87" customFormat="1" ht="171.75" hidden="1" customHeight="1" x14ac:dyDescent="0.25">
      <c r="A24" s="402"/>
      <c r="B24" s="385"/>
      <c r="C24" s="45" t="s">
        <v>158</v>
      </c>
      <c r="D24" s="81">
        <v>40909</v>
      </c>
      <c r="E24" s="81">
        <v>44896</v>
      </c>
      <c r="F24" s="82" t="s">
        <v>115</v>
      </c>
      <c r="G24" s="62" t="s">
        <v>54</v>
      </c>
      <c r="H24" s="38"/>
      <c r="I24" s="38"/>
      <c r="J24" s="63" t="s">
        <v>159</v>
      </c>
      <c r="K24" s="64" t="s">
        <v>160</v>
      </c>
      <c r="L24" s="64" t="s">
        <v>161</v>
      </c>
      <c r="M24" s="65">
        <v>0.4</v>
      </c>
      <c r="N24" s="83"/>
      <c r="O24" s="65">
        <v>1</v>
      </c>
      <c r="P24" s="83"/>
      <c r="Q24" s="83"/>
      <c r="R24" s="83"/>
      <c r="S24" s="84" t="s">
        <v>115</v>
      </c>
      <c r="T24" s="73" t="s">
        <v>135</v>
      </c>
      <c r="U24" s="73" t="s">
        <v>136</v>
      </c>
      <c r="V24" s="85"/>
      <c r="W24" s="35"/>
      <c r="X24" s="36"/>
      <c r="Y24" s="72" t="s">
        <v>162</v>
      </c>
      <c r="Z24" s="26">
        <v>0.25</v>
      </c>
      <c r="AA24" s="78" t="s">
        <v>138</v>
      </c>
      <c r="AB24" s="38"/>
      <c r="AC24" s="34" t="s">
        <v>163</v>
      </c>
      <c r="AD24" s="38"/>
      <c r="AE24" s="38"/>
      <c r="AF24" s="86"/>
      <c r="AG24" s="38"/>
      <c r="AH24" s="45"/>
      <c r="AI24" s="45"/>
      <c r="AJ24" s="45"/>
    </row>
    <row r="25" spans="1:36" s="87" customFormat="1" ht="96.75" hidden="1" customHeight="1" x14ac:dyDescent="0.25">
      <c r="A25" s="403"/>
      <c r="B25" s="386"/>
      <c r="C25" s="45" t="s">
        <v>171</v>
      </c>
      <c r="D25" s="81">
        <v>40909</v>
      </c>
      <c r="E25" s="81">
        <v>44896</v>
      </c>
      <c r="F25" s="45" t="s">
        <v>115</v>
      </c>
      <c r="G25" s="62" t="s">
        <v>54</v>
      </c>
      <c r="H25" s="38"/>
      <c r="I25" s="38"/>
      <c r="J25" s="83"/>
      <c r="K25" s="64" t="s">
        <v>172</v>
      </c>
      <c r="L25" s="64" t="s">
        <v>173</v>
      </c>
      <c r="M25" s="65">
        <v>0.2</v>
      </c>
      <c r="N25" s="83"/>
      <c r="O25" s="52"/>
      <c r="P25" s="65">
        <v>1</v>
      </c>
      <c r="Q25" s="89"/>
      <c r="R25" s="65"/>
      <c r="S25" s="64" t="s">
        <v>115</v>
      </c>
      <c r="T25" s="73" t="s">
        <v>135</v>
      </c>
      <c r="U25" s="73" t="s">
        <v>136</v>
      </c>
      <c r="V25" s="85"/>
      <c r="W25" s="35"/>
      <c r="X25" s="36"/>
      <c r="Y25" s="94" t="s">
        <v>174</v>
      </c>
      <c r="Z25" s="26">
        <v>0</v>
      </c>
      <c r="AA25" s="78" t="s">
        <v>175</v>
      </c>
      <c r="AB25" s="90" t="s">
        <v>167</v>
      </c>
      <c r="AC25" s="34" t="s">
        <v>84</v>
      </c>
      <c r="AD25" s="38"/>
      <c r="AE25" s="93" t="s">
        <v>169</v>
      </c>
      <c r="AF25" s="86"/>
      <c r="AG25" s="38"/>
      <c r="AH25" s="45"/>
      <c r="AI25" s="45"/>
      <c r="AJ25" s="45"/>
    </row>
    <row r="26" spans="1:36" ht="30.75" customHeight="1" x14ac:dyDescent="0.25">
      <c r="A26" s="95"/>
      <c r="B26" s="96"/>
      <c r="C26" s="97"/>
      <c r="D26" s="98"/>
      <c r="E26" s="98"/>
      <c r="F26" s="99"/>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1"/>
      <c r="AE26" s="100"/>
      <c r="AF26" s="100"/>
      <c r="AG26" s="100"/>
      <c r="AH26" s="36"/>
      <c r="AI26" s="36"/>
      <c r="AJ26" s="36"/>
    </row>
    <row r="27" spans="1:36" ht="137.25" hidden="1" customHeight="1" x14ac:dyDescent="0.25">
      <c r="A27" s="114"/>
      <c r="B27" s="25"/>
      <c r="C27" s="45" t="s">
        <v>296</v>
      </c>
      <c r="D27" s="61">
        <v>40909</v>
      </c>
      <c r="E27" s="61">
        <v>44896</v>
      </c>
      <c r="F27" s="43"/>
      <c r="G27" s="43" t="s">
        <v>54</v>
      </c>
      <c r="H27" s="45"/>
      <c r="I27" s="45"/>
      <c r="J27" s="63" t="s">
        <v>297</v>
      </c>
      <c r="K27" s="64" t="s">
        <v>298</v>
      </c>
      <c r="L27" s="64" t="s">
        <v>223</v>
      </c>
      <c r="M27" s="65">
        <v>1</v>
      </c>
      <c r="N27" s="83"/>
      <c r="O27" s="52">
        <v>1</v>
      </c>
      <c r="P27" s="46"/>
      <c r="Q27" s="46"/>
      <c r="R27" s="46"/>
      <c r="S27" s="64" t="s">
        <v>292</v>
      </c>
      <c r="T27" s="56" t="s">
        <v>299</v>
      </c>
      <c r="U27" s="36" t="s">
        <v>300</v>
      </c>
      <c r="V27" s="40"/>
      <c r="W27" s="35"/>
      <c r="X27" s="40"/>
      <c r="Y27" s="36" t="s">
        <v>301</v>
      </c>
      <c r="Z27" s="107">
        <v>1</v>
      </c>
      <c r="AA27" s="38"/>
      <c r="AB27" s="90" t="s">
        <v>293</v>
      </c>
      <c r="AC27" s="39"/>
      <c r="AD27" s="40"/>
      <c r="AE27" s="90" t="s">
        <v>294</v>
      </c>
      <c r="AF27" s="42"/>
      <c r="AG27" s="40"/>
    </row>
    <row r="28" spans="1:36" s="87" customFormat="1" ht="242.25" x14ac:dyDescent="0.25">
      <c r="A28" s="43"/>
      <c r="B28" s="45"/>
      <c r="C28" s="45"/>
      <c r="D28" s="69"/>
      <c r="E28" s="69"/>
      <c r="F28" s="45"/>
      <c r="G28" s="43" t="s">
        <v>308</v>
      </c>
      <c r="H28" s="38"/>
      <c r="I28" s="38"/>
      <c r="J28" s="45"/>
      <c r="K28" s="45" t="s">
        <v>401</v>
      </c>
      <c r="L28" s="45" t="s">
        <v>402</v>
      </c>
      <c r="M28" s="46">
        <v>0.3</v>
      </c>
      <c r="N28" s="86"/>
      <c r="O28" s="46">
        <v>0.25</v>
      </c>
      <c r="P28" s="53">
        <v>0.25</v>
      </c>
      <c r="Q28" s="54">
        <v>0.25</v>
      </c>
      <c r="R28" s="55">
        <v>0.25</v>
      </c>
      <c r="S28" s="45" t="s">
        <v>397</v>
      </c>
      <c r="T28" s="38"/>
      <c r="U28"/>
      <c r="V28" s="38"/>
      <c r="W28" s="46"/>
      <c r="X28" s="38"/>
      <c r="Y28" s="153"/>
      <c r="Z28" s="40"/>
      <c r="AA28" s="154" t="s">
        <v>403</v>
      </c>
      <c r="AB28" s="155" t="s">
        <v>404</v>
      </c>
      <c r="AC28" s="134" t="s">
        <v>405</v>
      </c>
      <c r="AD28" s="156" t="s">
        <v>406</v>
      </c>
      <c r="AE28" s="146" t="s">
        <v>407</v>
      </c>
      <c r="AF28" s="146" t="s">
        <v>408</v>
      </c>
      <c r="AG28" s="146" t="s">
        <v>409</v>
      </c>
      <c r="AH28" s="141" t="s">
        <v>410</v>
      </c>
      <c r="AI28" s="45"/>
      <c r="AJ28" s="45"/>
    </row>
    <row r="29" spans="1:36" ht="30.75" customHeight="1" x14ac:dyDescent="0.25">
      <c r="A29" s="95"/>
      <c r="B29" s="96"/>
      <c r="C29" s="97"/>
      <c r="D29" s="98"/>
      <c r="E29" s="98"/>
      <c r="F29" s="99"/>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1"/>
      <c r="AE29" s="100"/>
      <c r="AF29" s="100"/>
      <c r="AG29" s="100"/>
      <c r="AH29" s="36"/>
      <c r="AI29" s="36"/>
      <c r="AJ29" s="36"/>
    </row>
    <row r="30" spans="1:36" s="87" customFormat="1" ht="190.5" customHeight="1" thickBot="1" x14ac:dyDescent="0.3">
      <c r="A30" s="38"/>
      <c r="B30" s="38"/>
      <c r="C30" s="38"/>
      <c r="D30" s="38"/>
      <c r="E30" s="38"/>
      <c r="F30" s="38"/>
      <c r="G30" s="43" t="s">
        <v>512</v>
      </c>
      <c r="H30" s="45" t="s">
        <v>740</v>
      </c>
      <c r="I30" s="45" t="s">
        <v>741</v>
      </c>
      <c r="J30" s="45" t="s">
        <v>742</v>
      </c>
      <c r="K30" s="45" t="s">
        <v>743</v>
      </c>
      <c r="L30" s="45" t="s">
        <v>744</v>
      </c>
      <c r="M30" s="46">
        <v>1</v>
      </c>
      <c r="N30" s="51">
        <v>0.2</v>
      </c>
      <c r="O30" s="46">
        <v>0.2</v>
      </c>
      <c r="P30" s="53">
        <v>0.2</v>
      </c>
      <c r="Q30" s="54">
        <v>0.2</v>
      </c>
      <c r="R30" s="55">
        <v>0.2</v>
      </c>
      <c r="S30" s="145" t="s">
        <v>745</v>
      </c>
      <c r="T30" s="145" t="s">
        <v>746</v>
      </c>
      <c r="U30" s="145" t="s">
        <v>747</v>
      </c>
      <c r="V30" s="200" t="s">
        <v>748</v>
      </c>
      <c r="W30" s="171">
        <v>1</v>
      </c>
      <c r="X30" s="40"/>
      <c r="Y30" s="9" t="s">
        <v>749</v>
      </c>
      <c r="Z30" s="171">
        <v>0.25</v>
      </c>
      <c r="AA30" s="201" t="s">
        <v>750</v>
      </c>
      <c r="AB30" s="90" t="s">
        <v>751</v>
      </c>
      <c r="AC30" s="90" t="s">
        <v>658</v>
      </c>
      <c r="AD30" s="38"/>
      <c r="AE30" s="90" t="s">
        <v>752</v>
      </c>
      <c r="AF30" s="46">
        <v>0.5</v>
      </c>
      <c r="AG30" s="90" t="s">
        <v>753</v>
      </c>
      <c r="AH30" s="45" t="s">
        <v>754</v>
      </c>
      <c r="AI30" s="38"/>
      <c r="AJ30" s="38"/>
    </row>
    <row r="31" spans="1:36" s="87" customFormat="1" ht="135" x14ac:dyDescent="0.25">
      <c r="A31" s="38"/>
      <c r="B31" s="38"/>
      <c r="C31" s="38"/>
      <c r="D31" s="38"/>
      <c r="E31" s="38"/>
      <c r="F31" s="38"/>
      <c r="G31" s="43" t="s">
        <v>512</v>
      </c>
      <c r="H31" s="45" t="s">
        <v>836</v>
      </c>
      <c r="I31" s="45" t="s">
        <v>837</v>
      </c>
      <c r="J31" s="45" t="s">
        <v>838</v>
      </c>
      <c r="K31" s="45" t="s">
        <v>839</v>
      </c>
      <c r="L31" s="45" t="s">
        <v>840</v>
      </c>
      <c r="M31" s="46">
        <v>1</v>
      </c>
      <c r="N31" s="51">
        <v>0.2</v>
      </c>
      <c r="O31" s="46">
        <v>0.2</v>
      </c>
      <c r="P31" s="53">
        <v>0.2</v>
      </c>
      <c r="Q31" s="54">
        <v>0.2</v>
      </c>
      <c r="R31" s="55">
        <v>0.2</v>
      </c>
      <c r="S31" s="45" t="s">
        <v>841</v>
      </c>
      <c r="T31" s="38"/>
      <c r="U31" s="45" t="s">
        <v>842</v>
      </c>
      <c r="V31" s="36" t="s">
        <v>843</v>
      </c>
      <c r="W31" s="108">
        <v>1</v>
      </c>
      <c r="X31" s="40"/>
      <c r="Y31" s="9"/>
      <c r="Z31" s="78" t="s">
        <v>844</v>
      </c>
      <c r="AA31" s="12"/>
      <c r="AB31" s="36" t="s">
        <v>845</v>
      </c>
      <c r="AC31" s="207" t="s">
        <v>846</v>
      </c>
      <c r="AD31" s="207" t="s">
        <v>847</v>
      </c>
      <c r="AE31" s="36" t="s">
        <v>848</v>
      </c>
      <c r="AF31" s="46">
        <v>0.75</v>
      </c>
      <c r="AG31" s="36" t="s">
        <v>849</v>
      </c>
      <c r="AH31" s="208" t="s">
        <v>850</v>
      </c>
      <c r="AI31" s="38"/>
      <c r="AJ31" s="38"/>
    </row>
    <row r="32" spans="1:36" ht="30.75" customHeight="1" x14ac:dyDescent="0.25">
      <c r="A32" s="95"/>
      <c r="B32" s="96"/>
      <c r="C32" s="97"/>
      <c r="D32" s="98"/>
      <c r="E32" s="98"/>
      <c r="F32" s="99"/>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1"/>
      <c r="AE32" s="100"/>
      <c r="AF32" s="100"/>
      <c r="AG32" s="100"/>
      <c r="AH32" s="36"/>
      <c r="AI32" s="36"/>
      <c r="AJ32" s="36"/>
    </row>
    <row r="33" spans="1:36" s="137" customFormat="1" ht="105" x14ac:dyDescent="0.25">
      <c r="A33"/>
      <c r="B33"/>
      <c r="C33" s="72"/>
      <c r="D33" s="247"/>
      <c r="E33" s="247"/>
      <c r="F33" s="266"/>
      <c r="G33" s="62"/>
      <c r="H33" s="64"/>
      <c r="I33" s="133"/>
      <c r="J33" s="64"/>
      <c r="K33" s="64" t="s">
        <v>1111</v>
      </c>
      <c r="L33" s="64" t="s">
        <v>108</v>
      </c>
      <c r="M33" s="65">
        <v>0.6</v>
      </c>
      <c r="N33" s="133"/>
      <c r="O33" s="133"/>
      <c r="P33" s="133"/>
      <c r="Q33" s="89"/>
      <c r="R33" s="79">
        <v>1</v>
      </c>
      <c r="S33" s="64" t="s">
        <v>1103</v>
      </c>
      <c r="T33" s="64" t="s">
        <v>1108</v>
      </c>
      <c r="U33" s="64" t="s">
        <v>1013</v>
      </c>
      <c r="V33" s="133"/>
      <c r="W33" s="107"/>
      <c r="X33" s="133"/>
      <c r="Y33" s="133"/>
      <c r="Z33" s="133"/>
      <c r="AA33" s="133"/>
      <c r="AB33" s="133"/>
      <c r="AC33" s="133"/>
      <c r="AD33" s="133"/>
      <c r="AE33" s="60" t="s">
        <v>1112</v>
      </c>
      <c r="AF33" s="236">
        <v>0</v>
      </c>
      <c r="AG33" s="60" t="s">
        <v>1116</v>
      </c>
      <c r="AH33" s="265" t="s">
        <v>1113</v>
      </c>
      <c r="AI33" s="133"/>
      <c r="AJ33" s="133"/>
    </row>
    <row r="34" spans="1:36" ht="30.75" customHeight="1" x14ac:dyDescent="0.25">
      <c r="A34" s="95"/>
      <c r="B34" s="96"/>
      <c r="C34" s="97"/>
      <c r="D34" s="98"/>
      <c r="E34" s="98"/>
      <c r="F34" s="99"/>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1"/>
      <c r="AE34" s="100"/>
      <c r="AF34" s="100"/>
      <c r="AG34" s="100"/>
      <c r="AH34" s="36"/>
      <c r="AI34" s="36"/>
      <c r="AJ34" s="36"/>
    </row>
    <row r="35" spans="1:36" s="87" customFormat="1" ht="60" x14ac:dyDescent="0.25">
      <c r="H35" s="211"/>
      <c r="I35" s="211"/>
      <c r="J35" s="211"/>
      <c r="K35" s="157" t="s">
        <v>1278</v>
      </c>
      <c r="L35" s="157" t="s">
        <v>421</v>
      </c>
      <c r="M35" s="210">
        <v>0.5</v>
      </c>
      <c r="N35" s="211"/>
      <c r="O35" s="210">
        <v>0.25</v>
      </c>
      <c r="P35" s="210">
        <v>0.25</v>
      </c>
      <c r="Q35" s="210">
        <v>0.25</v>
      </c>
      <c r="R35" s="210">
        <v>0.25</v>
      </c>
      <c r="T35"/>
      <c r="U35"/>
      <c r="V35" s="72"/>
      <c r="W35" s="35"/>
      <c r="X35" s="40"/>
      <c r="Y35" s="40"/>
      <c r="Z35" s="107">
        <v>0</v>
      </c>
      <c r="AA35" s="78" t="s">
        <v>1279</v>
      </c>
      <c r="AB35" s="48"/>
      <c r="AC35" s="38"/>
      <c r="AD35" s="153"/>
      <c r="AE35" s="153"/>
      <c r="AF35" s="289"/>
      <c r="AG35" s="157" t="s">
        <v>1280</v>
      </c>
      <c r="AH35" s="38"/>
      <c r="AI35" s="38"/>
      <c r="AJ35" s="38"/>
    </row>
    <row r="36" spans="1:36" ht="30.75" customHeight="1" x14ac:dyDescent="0.25">
      <c r="A36" s="95"/>
      <c r="B36" s="96"/>
      <c r="C36" s="97"/>
      <c r="D36" s="98"/>
      <c r="E36" s="98"/>
      <c r="F36" s="99"/>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1"/>
      <c r="AE36" s="100"/>
      <c r="AF36" s="100"/>
      <c r="AG36" s="100"/>
      <c r="AH36" s="36"/>
      <c r="AI36" s="36"/>
      <c r="AJ36" s="36"/>
    </row>
    <row r="37" spans="1:36" s="87" customFormat="1" ht="390" customHeight="1" thickBot="1" x14ac:dyDescent="0.3">
      <c r="B37" s="83"/>
      <c r="C37" s="83"/>
      <c r="D37" s="83"/>
      <c r="E37" s="83"/>
      <c r="F37" s="83"/>
      <c r="G37" s="38"/>
      <c r="H37" s="38"/>
      <c r="I37" s="38"/>
      <c r="K37" s="45" t="s">
        <v>1353</v>
      </c>
      <c r="L37" s="45" t="s">
        <v>1354</v>
      </c>
      <c r="M37" s="46">
        <v>0.5</v>
      </c>
      <c r="N37" s="158"/>
      <c r="O37" s="46"/>
      <c r="P37" s="46"/>
      <c r="Q37" s="54">
        <v>1</v>
      </c>
      <c r="R37" s="86"/>
      <c r="S37" s="45" t="s">
        <v>1355</v>
      </c>
      <c r="T37" s="45" t="s">
        <v>1356</v>
      </c>
      <c r="U37" s="45" t="s">
        <v>1357</v>
      </c>
      <c r="V37" s="40"/>
      <c r="W37" s="35"/>
      <c r="X37" s="40"/>
      <c r="Y37" s="36" t="s">
        <v>1358</v>
      </c>
      <c r="Z37" s="40"/>
      <c r="AA37" s="40"/>
      <c r="AB37" s="40"/>
      <c r="AC37" s="38"/>
      <c r="AD37" s="38"/>
      <c r="AE37" s="60" t="s">
        <v>1359</v>
      </c>
      <c r="AF37" s="289">
        <v>0</v>
      </c>
      <c r="AG37" s="60" t="s">
        <v>1360</v>
      </c>
      <c r="AH37" s="45"/>
      <c r="AI37" s="45"/>
      <c r="AJ37" s="45"/>
    </row>
    <row r="38" spans="1:36" s="87" customFormat="1" ht="179.25" customHeight="1" x14ac:dyDescent="0.25">
      <c r="A38" s="38"/>
      <c r="B38" s="38"/>
      <c r="C38" s="38"/>
      <c r="D38" s="38"/>
      <c r="E38" s="38"/>
      <c r="F38" s="38"/>
      <c r="G38" s="43" t="s">
        <v>1344</v>
      </c>
      <c r="H38" s="157"/>
      <c r="I38" s="157"/>
      <c r="J38" s="49" t="s">
        <v>1483</v>
      </c>
      <c r="K38" s="45" t="s">
        <v>1484</v>
      </c>
      <c r="L38" s="45" t="s">
        <v>1485</v>
      </c>
      <c r="M38" s="46">
        <v>1</v>
      </c>
      <c r="N38" s="51">
        <v>1</v>
      </c>
      <c r="O38" s="303">
        <v>1200</v>
      </c>
      <c r="P38" s="304">
        <v>1200</v>
      </c>
      <c r="Q38" s="305">
        <v>1200</v>
      </c>
      <c r="R38" s="306">
        <v>1200</v>
      </c>
      <c r="S38" s="45" t="s">
        <v>1486</v>
      </c>
      <c r="T38" s="45"/>
      <c r="U38" s="45" t="s">
        <v>1487</v>
      </c>
      <c r="V38" s="251" t="s">
        <v>1488</v>
      </c>
      <c r="W38" s="251" t="s">
        <v>1489</v>
      </c>
      <c r="X38" s="251" t="s">
        <v>1490</v>
      </c>
      <c r="Y38" s="94" t="s">
        <v>1491</v>
      </c>
      <c r="Z38" s="35">
        <v>1</v>
      </c>
      <c r="AA38" s="40"/>
      <c r="AB38" s="299" t="s">
        <v>1492</v>
      </c>
      <c r="AC38" s="216" t="s">
        <v>533</v>
      </c>
      <c r="AD38" s="299"/>
      <c r="AE38" s="299" t="s">
        <v>1492</v>
      </c>
      <c r="AF38" s="147">
        <v>0</v>
      </c>
      <c r="AG38" s="45" t="s">
        <v>1493</v>
      </c>
      <c r="AH38" s="307" t="s">
        <v>1492</v>
      </c>
      <c r="AI38" s="45"/>
      <c r="AJ38" s="45"/>
    </row>
    <row r="39" spans="1:36" s="87" customFormat="1" ht="156.75" x14ac:dyDescent="0.25">
      <c r="A39" s="38"/>
      <c r="B39" s="38"/>
      <c r="C39" s="38"/>
      <c r="D39" s="38"/>
      <c r="E39" s="38"/>
      <c r="F39" s="38"/>
      <c r="G39" s="43" t="s">
        <v>1344</v>
      </c>
      <c r="H39" s="157"/>
      <c r="I39" s="157"/>
      <c r="J39" s="44"/>
      <c r="K39" s="157" t="s">
        <v>1544</v>
      </c>
      <c r="L39" s="157" t="s">
        <v>1545</v>
      </c>
      <c r="M39" s="46">
        <v>0.1</v>
      </c>
      <c r="N39" s="46">
        <v>0.2</v>
      </c>
      <c r="O39" s="46">
        <v>0.2</v>
      </c>
      <c r="P39" s="53">
        <v>0.2</v>
      </c>
      <c r="Q39" s="54">
        <v>0.2</v>
      </c>
      <c r="R39" s="55">
        <v>0.2</v>
      </c>
      <c r="S39" s="196" t="s">
        <v>1540</v>
      </c>
      <c r="T39" s="196" t="s">
        <v>1546</v>
      </c>
      <c r="U39"/>
      <c r="V39" s="196" t="s">
        <v>1547</v>
      </c>
      <c r="W39" s="35">
        <v>1</v>
      </c>
      <c r="X39" s="40"/>
      <c r="Y39" s="9"/>
      <c r="Z39" s="36" t="s">
        <v>844</v>
      </c>
      <c r="AA39" s="40"/>
      <c r="AB39" s="90" t="s">
        <v>1548</v>
      </c>
      <c r="AC39" s="90" t="s">
        <v>84</v>
      </c>
      <c r="AD39" s="38"/>
      <c r="AE39" s="45" t="s">
        <v>1549</v>
      </c>
      <c r="AF39" s="147">
        <v>0.75</v>
      </c>
      <c r="AG39" s="380" t="s">
        <v>1550</v>
      </c>
      <c r="AH39" s="58" t="s">
        <v>1551</v>
      </c>
      <c r="AI39" s="45"/>
      <c r="AJ39" s="45"/>
    </row>
    <row r="40" spans="1:36" s="87" customFormat="1" ht="150.75" thickBot="1" x14ac:dyDescent="0.3">
      <c r="A40" s="38"/>
      <c r="B40" s="38"/>
      <c r="C40" s="38"/>
      <c r="D40" s="38"/>
      <c r="E40" s="38"/>
      <c r="F40" s="38"/>
      <c r="G40" s="43" t="s">
        <v>1344</v>
      </c>
      <c r="H40" s="157"/>
      <c r="I40" s="157"/>
      <c r="J40" s="45" t="s">
        <v>1636</v>
      </c>
      <c r="K40" s="45" t="s">
        <v>1637</v>
      </c>
      <c r="L40" s="45" t="s">
        <v>1638</v>
      </c>
      <c r="M40" s="46">
        <v>1</v>
      </c>
      <c r="N40" s="52"/>
      <c r="O40" s="46">
        <v>0.25</v>
      </c>
      <c r="P40" s="53">
        <v>0.25</v>
      </c>
      <c r="Q40" s="54">
        <v>0.25</v>
      </c>
      <c r="R40" s="55">
        <v>0.25</v>
      </c>
      <c r="S40" s="25" t="s">
        <v>1639</v>
      </c>
      <c r="T40" s="25"/>
      <c r="U40" s="25" t="s">
        <v>1640</v>
      </c>
      <c r="V40" s="39"/>
      <c r="W40" s="35"/>
      <c r="X40" s="40"/>
      <c r="Y40" s="9"/>
      <c r="Z40" s="107">
        <v>0</v>
      </c>
      <c r="AA40" s="201" t="s">
        <v>1641</v>
      </c>
      <c r="AB40" s="90" t="s">
        <v>1642</v>
      </c>
      <c r="AC40" s="313" t="s">
        <v>979</v>
      </c>
      <c r="AD40" s="313" t="s">
        <v>1643</v>
      </c>
      <c r="AE40" s="45" t="s">
        <v>1642</v>
      </c>
      <c r="AF40" s="147">
        <v>0</v>
      </c>
      <c r="AG40" s="380" t="s">
        <v>1644</v>
      </c>
      <c r="AH40" s="45" t="s">
        <v>1642</v>
      </c>
      <c r="AI40" s="45"/>
      <c r="AJ40" s="45"/>
    </row>
    <row r="41" spans="1:36" s="87" customFormat="1" ht="139.5" customHeight="1" x14ac:dyDescent="0.25">
      <c r="C41" s="45" t="s">
        <v>1797</v>
      </c>
      <c r="D41" s="144">
        <v>40909</v>
      </c>
      <c r="E41" s="144">
        <v>44896</v>
      </c>
      <c r="F41" s="131" t="s">
        <v>1254</v>
      </c>
      <c r="G41" s="62" t="s">
        <v>1344</v>
      </c>
      <c r="H41" s="38"/>
      <c r="I41" s="38"/>
      <c r="J41" s="64"/>
      <c r="K41" s="64" t="s">
        <v>1798</v>
      </c>
      <c r="L41" s="64" t="s">
        <v>1799</v>
      </c>
      <c r="M41" s="65">
        <v>0.25</v>
      </c>
      <c r="N41" s="65">
        <v>0.2</v>
      </c>
      <c r="O41" s="91">
        <v>0.2</v>
      </c>
      <c r="P41" s="88">
        <v>0.2</v>
      </c>
      <c r="Q41" s="89">
        <v>0.2</v>
      </c>
      <c r="R41" s="79">
        <v>0.2</v>
      </c>
      <c r="S41" s="64" t="s">
        <v>1254</v>
      </c>
      <c r="T41" s="64" t="s">
        <v>1788</v>
      </c>
      <c r="U41" s="64" t="s">
        <v>1789</v>
      </c>
      <c r="V41" s="316" t="s">
        <v>1800</v>
      </c>
      <c r="W41" s="35">
        <v>1</v>
      </c>
      <c r="X41" s="40"/>
      <c r="Y41" s="90" t="s">
        <v>1801</v>
      </c>
      <c r="Z41" s="35">
        <v>1</v>
      </c>
      <c r="AA41" s="40"/>
      <c r="AB41" s="90" t="s">
        <v>1802</v>
      </c>
      <c r="AC41" s="209" t="s">
        <v>533</v>
      </c>
      <c r="AD41" s="38"/>
      <c r="AE41" s="45" t="s">
        <v>1801</v>
      </c>
      <c r="AF41" s="147">
        <v>0.6</v>
      </c>
      <c r="AG41" s="45" t="s">
        <v>1803</v>
      </c>
      <c r="AH41" s="58" t="s">
        <v>1804</v>
      </c>
      <c r="AI41" s="45"/>
      <c r="AJ41" s="45"/>
    </row>
    <row r="42" spans="1:36" ht="30.75" customHeight="1" x14ac:dyDescent="0.25">
      <c r="A42" s="95"/>
      <c r="B42" s="96"/>
      <c r="C42" s="97"/>
      <c r="D42" s="98"/>
      <c r="E42" s="98"/>
      <c r="F42" s="99"/>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1"/>
      <c r="AE42" s="100"/>
      <c r="AF42" s="100"/>
      <c r="AG42" s="100"/>
      <c r="AH42" s="36"/>
      <c r="AI42" s="36"/>
      <c r="AJ42" s="36"/>
    </row>
    <row r="43" spans="1:36" x14ac:dyDescent="0.25">
      <c r="A43" s="87"/>
      <c r="B43" s="87"/>
      <c r="C43" s="87"/>
      <c r="D43" s="87"/>
      <c r="E43" s="87"/>
      <c r="F43" s="87"/>
      <c r="G43" s="87"/>
      <c r="H43" s="87"/>
      <c r="I43" s="87"/>
      <c r="J43" s="87"/>
      <c r="K43" s="87"/>
      <c r="L43" s="87"/>
      <c r="M43" s="87"/>
      <c r="N43" s="87"/>
      <c r="O43" s="87"/>
      <c r="P43" s="87"/>
      <c r="Q43" s="87"/>
      <c r="R43" s="87"/>
      <c r="S43" s="87"/>
      <c r="V43" s="87"/>
      <c r="W43" s="87"/>
      <c r="X43" s="87"/>
      <c r="Y43" s="87"/>
      <c r="Z43" s="87"/>
      <c r="AA43" s="87"/>
      <c r="AB43" s="87"/>
    </row>
    <row r="44" spans="1:36" x14ac:dyDescent="0.25">
      <c r="A44" s="87"/>
      <c r="B44" s="87"/>
      <c r="C44" s="87"/>
      <c r="D44" s="87"/>
      <c r="E44" s="87"/>
      <c r="F44" s="87"/>
      <c r="G44" s="87"/>
      <c r="H44" s="87"/>
      <c r="I44" s="87"/>
      <c r="J44" s="87"/>
      <c r="K44" s="87"/>
      <c r="L44" s="87"/>
      <c r="M44" s="87"/>
      <c r="N44" s="87"/>
      <c r="O44" s="87"/>
      <c r="P44" s="87"/>
      <c r="Q44" s="87"/>
      <c r="R44" s="87"/>
      <c r="S44" s="87"/>
      <c r="V44" s="87"/>
      <c r="W44" s="87"/>
      <c r="X44" s="87"/>
      <c r="Y44" s="87"/>
      <c r="Z44" s="87"/>
      <c r="AA44" s="87"/>
      <c r="AB44" s="87"/>
    </row>
    <row r="45" spans="1:36" x14ac:dyDescent="0.25">
      <c r="V45" s="87"/>
      <c r="W45" s="87"/>
      <c r="X45" s="87"/>
      <c r="Y45" s="87"/>
      <c r="Z45" s="87"/>
      <c r="AA45" s="87"/>
      <c r="AB45" s="87"/>
    </row>
    <row r="46" spans="1:36" x14ac:dyDescent="0.25">
      <c r="V46" s="87"/>
      <c r="W46" s="87"/>
      <c r="X46" s="87"/>
      <c r="Y46" s="87"/>
      <c r="Z46" s="87"/>
      <c r="AA46" s="87"/>
      <c r="AB46" s="87"/>
    </row>
    <row r="47" spans="1:36" x14ac:dyDescent="0.25">
      <c r="V47" s="87"/>
      <c r="W47" s="87"/>
      <c r="X47" s="87"/>
      <c r="Y47" s="87"/>
      <c r="Z47" s="87"/>
      <c r="AA47" s="87"/>
      <c r="AB47" s="87"/>
    </row>
    <row r="48" spans="1:36" x14ac:dyDescent="0.25">
      <c r="V48" s="87"/>
      <c r="W48" s="87"/>
      <c r="X48" s="87"/>
      <c r="Y48" s="87"/>
      <c r="Z48" s="87"/>
      <c r="AA48" s="87"/>
      <c r="AB48" s="87"/>
    </row>
    <row r="49" spans="22:28" x14ac:dyDescent="0.25">
      <c r="V49" s="87"/>
      <c r="W49" s="87"/>
      <c r="X49" s="87"/>
      <c r="Y49" s="87"/>
      <c r="Z49" s="87"/>
      <c r="AA49" s="87"/>
      <c r="AB49" s="87"/>
    </row>
    <row r="50" spans="22:28" x14ac:dyDescent="0.25">
      <c r="V50" s="87"/>
      <c r="W50" s="87"/>
      <c r="X50" s="87"/>
      <c r="Y50" s="87"/>
      <c r="Z50" s="87"/>
      <c r="AA50" s="87"/>
      <c r="AB50" s="87"/>
    </row>
    <row r="51" spans="22:28" x14ac:dyDescent="0.25">
      <c r="V51" s="87"/>
      <c r="W51" s="87"/>
      <c r="X51" s="87"/>
      <c r="Y51" s="87"/>
      <c r="Z51" s="87"/>
      <c r="AA51" s="87"/>
      <c r="AB51" s="87"/>
    </row>
    <row r="52" spans="22:28" x14ac:dyDescent="0.25">
      <c r="V52" s="87"/>
      <c r="W52" s="87"/>
      <c r="X52" s="87"/>
      <c r="Y52" s="87"/>
      <c r="Z52" s="87"/>
      <c r="AA52" s="87"/>
      <c r="AB52" s="87"/>
    </row>
    <row r="53" spans="22:28" x14ac:dyDescent="0.25">
      <c r="V53" s="87"/>
      <c r="W53" s="87"/>
      <c r="X53" s="87"/>
      <c r="Y53" s="87"/>
      <c r="Z53" s="87"/>
      <c r="AA53" s="87"/>
      <c r="AB53" s="87"/>
    </row>
    <row r="54" spans="22:28" x14ac:dyDescent="0.25">
      <c r="V54" s="87"/>
      <c r="W54" s="87"/>
      <c r="X54" s="87"/>
      <c r="Y54" s="87"/>
      <c r="Z54" s="87"/>
      <c r="AA54" s="87"/>
      <c r="AB54" s="87"/>
    </row>
    <row r="55" spans="22:28" x14ac:dyDescent="0.25">
      <c r="V55" s="87"/>
      <c r="W55" s="87"/>
      <c r="X55" s="87"/>
      <c r="Y55" s="87"/>
      <c r="Z55" s="87"/>
      <c r="AA55" s="87"/>
      <c r="AB55" s="87"/>
    </row>
    <row r="56" spans="22:28" x14ac:dyDescent="0.25">
      <c r="V56" s="87"/>
      <c r="W56" s="87"/>
      <c r="X56" s="87"/>
      <c r="Y56" s="87"/>
      <c r="Z56" s="87"/>
      <c r="AA56" s="87"/>
      <c r="AB56" s="87"/>
    </row>
    <row r="57" spans="22:28" x14ac:dyDescent="0.25">
      <c r="V57" s="87"/>
      <c r="W57" s="87"/>
      <c r="X57" s="87"/>
      <c r="Y57" s="87"/>
      <c r="Z57" s="87"/>
      <c r="AA57" s="87"/>
      <c r="AB57" s="87"/>
    </row>
    <row r="58" spans="22:28" x14ac:dyDescent="0.25">
      <c r="V58" s="87"/>
      <c r="W58" s="87"/>
      <c r="X58" s="87"/>
      <c r="Y58" s="87"/>
      <c r="Z58" s="87"/>
      <c r="AA58" s="87"/>
      <c r="AB58" s="87"/>
    </row>
    <row r="59" spans="22:28" x14ac:dyDescent="0.25">
      <c r="V59" s="87"/>
      <c r="W59" s="87"/>
      <c r="X59" s="87"/>
      <c r="Y59" s="87"/>
      <c r="Z59" s="87"/>
      <c r="AA59" s="87"/>
      <c r="AB59" s="87"/>
    </row>
    <row r="60" spans="22:28" x14ac:dyDescent="0.25">
      <c r="V60" s="87"/>
      <c r="W60" s="87"/>
      <c r="X60" s="87"/>
      <c r="Y60" s="87"/>
      <c r="Z60" s="87"/>
      <c r="AA60" s="87"/>
      <c r="AB60" s="87"/>
    </row>
    <row r="61" spans="22:28" x14ac:dyDescent="0.25">
      <c r="V61" s="87"/>
      <c r="W61" s="87"/>
      <c r="X61" s="87"/>
      <c r="Y61" s="87"/>
      <c r="Z61" s="87"/>
      <c r="AA61" s="87"/>
      <c r="AB61" s="87"/>
    </row>
    <row r="62" spans="22:28" x14ac:dyDescent="0.25">
      <c r="V62" s="87"/>
      <c r="W62" s="87"/>
      <c r="X62" s="87"/>
      <c r="Y62" s="87"/>
      <c r="Z62" s="87"/>
      <c r="AA62" s="87"/>
      <c r="AB62" s="87"/>
    </row>
    <row r="63" spans="22:28" x14ac:dyDescent="0.25">
      <c r="V63" s="87"/>
      <c r="W63" s="87"/>
      <c r="X63" s="87"/>
      <c r="Y63" s="87"/>
      <c r="Z63" s="87"/>
      <c r="AA63" s="87"/>
      <c r="AB63" s="87"/>
    </row>
    <row r="64" spans="22:28" x14ac:dyDescent="0.25">
      <c r="V64" s="87"/>
      <c r="W64" s="87"/>
      <c r="X64" s="87"/>
      <c r="Y64" s="87"/>
      <c r="Z64" s="87"/>
      <c r="AA64" s="87"/>
      <c r="AB64" s="87"/>
    </row>
    <row r="65" spans="22:28" x14ac:dyDescent="0.25">
      <c r="V65" s="87"/>
      <c r="W65" s="87"/>
      <c r="X65" s="87"/>
      <c r="Y65" s="87"/>
      <c r="Z65" s="87"/>
      <c r="AA65" s="87"/>
      <c r="AB65" s="87"/>
    </row>
    <row r="66" spans="22:28" x14ac:dyDescent="0.25">
      <c r="V66" s="87"/>
      <c r="W66" s="87"/>
      <c r="X66" s="87"/>
      <c r="Y66" s="87"/>
      <c r="Z66" s="87"/>
      <c r="AA66" s="87"/>
      <c r="AB66" s="87"/>
    </row>
    <row r="67" spans="22:28" x14ac:dyDescent="0.25">
      <c r="V67" s="87"/>
      <c r="W67" s="87"/>
      <c r="X67" s="87"/>
      <c r="Y67" s="87"/>
      <c r="Z67" s="87"/>
      <c r="AA67" s="87"/>
      <c r="AB67" s="87"/>
    </row>
    <row r="68" spans="22:28" x14ac:dyDescent="0.25">
      <c r="V68" s="87"/>
      <c r="W68" s="87"/>
      <c r="X68" s="87"/>
      <c r="Y68" s="87"/>
      <c r="Z68" s="87"/>
      <c r="AA68" s="87"/>
      <c r="AB68" s="87"/>
    </row>
  </sheetData>
  <protectedRanges>
    <protectedRange sqref="V11" name="Rango1_4"/>
    <protectedRange sqref="Y17" name="Rango1_4_2"/>
    <protectedRange sqref="AB14" name="Rango1_4_3"/>
    <protectedRange sqref="AB18" name="Rango1_4_4"/>
    <protectedRange sqref="AB20" name="Rango1_4_16"/>
    <protectedRange sqref="AE25" name="Rango1_4_19"/>
    <protectedRange sqref="AE11" name="Rango1_4_21"/>
    <protectedRange sqref="AB25" name="Rango1_4_26"/>
    <protectedRange sqref="AB27" name="Rango1_4_27"/>
    <protectedRange sqref="AB28" name="Rango1_4_34"/>
    <protectedRange sqref="AB30" name="Rango1_4_8_1"/>
    <protectedRange sqref="AE30" name="Rango1_4_20_1"/>
    <protectedRange sqref="AE37" name="Rango1_4_28_1"/>
    <protectedRange sqref="Y38" name="Rango1_4_15_1"/>
    <protectedRange sqref="AE38" name="Rango1_4_25_1"/>
    <protectedRange sqref="AB38" name="Rango1_4_26_1"/>
    <protectedRange sqref="AH38" name="Rango1_4_38"/>
    <protectedRange sqref="AB39" name="Rango1_4_2_9"/>
    <protectedRange sqref="AH39" name="Rango1_4_45"/>
    <protectedRange sqref="Y41" name="Rango1_4_2_2"/>
    <protectedRange sqref="AE41" name="Rango1_4_2_10"/>
    <protectedRange sqref="AH41" name="Rango1_4_44"/>
  </protectedRanges>
  <mergeCells count="50">
    <mergeCell ref="AH7:AJ7"/>
    <mergeCell ref="H5:T5"/>
    <mergeCell ref="V7:X7"/>
    <mergeCell ref="Y7:AA7"/>
    <mergeCell ref="AB7:AD7"/>
    <mergeCell ref="AE7:AG7"/>
    <mergeCell ref="AH8:AJ8"/>
    <mergeCell ref="A9:A10"/>
    <mergeCell ref="B9:B10"/>
    <mergeCell ref="C9:C10"/>
    <mergeCell ref="D9:E9"/>
    <mergeCell ref="F9:F10"/>
    <mergeCell ref="G9:G10"/>
    <mergeCell ref="H9:H10"/>
    <mergeCell ref="I9:I10"/>
    <mergeCell ref="J9:J10"/>
    <mergeCell ref="A8:F8"/>
    <mergeCell ref="G8:U8"/>
    <mergeCell ref="V8:X8"/>
    <mergeCell ref="Y8:AA8"/>
    <mergeCell ref="AB8:AD8"/>
    <mergeCell ref="AE8:AG8"/>
    <mergeCell ref="AB9:AB10"/>
    <mergeCell ref="K9:K10"/>
    <mergeCell ref="L9:L10"/>
    <mergeCell ref="M9:M10"/>
    <mergeCell ref="S9:S10"/>
    <mergeCell ref="T9:T10"/>
    <mergeCell ref="U9:U10"/>
    <mergeCell ref="V9:V10"/>
    <mergeCell ref="W9:W10"/>
    <mergeCell ref="X9:X10"/>
    <mergeCell ref="Z9:Z10"/>
    <mergeCell ref="AA9:AA10"/>
    <mergeCell ref="A19:A25"/>
    <mergeCell ref="B19:B25"/>
    <mergeCell ref="AI9:AI10"/>
    <mergeCell ref="AJ9:AJ10"/>
    <mergeCell ref="A11:A16"/>
    <mergeCell ref="B11:B13"/>
    <mergeCell ref="C11:C13"/>
    <mergeCell ref="F11:F13"/>
    <mergeCell ref="H11:H13"/>
    <mergeCell ref="I11:I13"/>
    <mergeCell ref="AC9:AC10"/>
    <mergeCell ref="AD9:AD10"/>
    <mergeCell ref="AE9:AE10"/>
    <mergeCell ref="AF9:AF10"/>
    <mergeCell ref="AG9:AG10"/>
    <mergeCell ref="AH9:AH10"/>
  </mergeCells>
  <printOptions horizontalCentered="1" verticalCentered="1"/>
  <pageMargins left="0.70866141732283472" right="0.70866141732283472" top="0.74803149606299213" bottom="0.74803149606299213" header="0.31496062992125984" footer="0.31496062992125984"/>
  <pageSetup paperSize="9" scale="5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GESTION AMBIENTA Y ORD. T.</vt:lpstr>
      <vt:lpstr>INVERSION PUBLICA</vt:lpstr>
      <vt:lpstr>DESARROLLO Y GESTION INSTITUCIO</vt:lpstr>
      <vt:lpstr>SEGURIDAD CIUDADANA</vt:lpstr>
      <vt:lpstr>SERVICIOS PUBLICOS</vt:lpstr>
      <vt:lpstr>DESARROLLO ECONOMICO</vt:lpstr>
      <vt:lpstr>DESARROLLO SOCIAL</vt:lpstr>
      <vt:lpstr>SEG. Y EVALUACION</vt:lpstr>
      <vt:lpstr>METAS PENDIENTES 2015</vt:lpstr>
      <vt:lpstr>'DESARROLLO ECONOMICO'!Títulos_a_imprimir</vt:lpstr>
      <vt:lpstr>'DESARROLLO SOCIAL'!Títulos_a_imprimir</vt:lpstr>
      <vt:lpstr>'DESARROLLO Y GESTION INSTITUCIO'!Títulos_a_imprimir</vt:lpstr>
      <vt:lpstr>'GESTION AMBIENTA Y ORD. T.'!Títulos_a_imprimir</vt:lpstr>
      <vt:lpstr>'INVERSION PUBLICA'!Títulos_a_imprimir</vt:lpstr>
      <vt:lpstr>'METAS PENDIENTES 2015'!Títulos_a_imprimir</vt:lpstr>
      <vt:lpstr>'SEGURIDAD CIUDADANA'!Títulos_a_imprimir</vt:lpstr>
      <vt:lpstr>'SERVICIOS PUBLICOS'!Títulos_a_imprimir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Jackelin Fernandez</dc:creator>
  <cp:lastModifiedBy>Jackelin Fernandez</cp:lastModifiedBy>
  <cp:lastPrinted>2016-01-22T21:18:29Z</cp:lastPrinted>
  <dcterms:created xsi:type="dcterms:W3CDTF">2016-01-22T16:26:46Z</dcterms:created>
  <dcterms:modified xsi:type="dcterms:W3CDTF">2017-04-17T16:26:50Z</dcterms:modified>
</cp:coreProperties>
</file>