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5150" windowHeight="7590" tabRatio="880" firstSheet="4" activeTab="10"/>
  </bookViews>
  <sheets>
    <sheet name="GESTION AMBIENTAL Y ORD. T." sheetId="6" r:id="rId1"/>
    <sheet name="INVERSION PUBLICA" sheetId="7" r:id="rId2"/>
    <sheet name="DESARROLLO Y GESTION INST." sheetId="8" r:id="rId3"/>
    <sheet name="SEGURIDAD CIUDADANA" sheetId="3" r:id="rId4"/>
    <sheet name="SERVICIOS PUBLICOS" sheetId="5" r:id="rId5"/>
    <sheet name="DESARROLLO ECONOMICO SOSTENIBLE" sheetId="1" r:id="rId6"/>
    <sheet name="DESARROLLO SOCIAL" sheetId="2" r:id="rId7"/>
    <sheet name="PLAN LARGO PLAZO" sheetId="19" state="hidden" r:id="rId8"/>
    <sheet name="Hoja2" sheetId="12" state="hidden" r:id="rId9"/>
    <sheet name="SEG. Y EVAL. MEDIANO PLAZO" sheetId="13" r:id="rId10"/>
    <sheet name="METAS NO ALCANZADAS 100%" sheetId="20" r:id="rId11"/>
  </sheets>
  <definedNames>
    <definedName name="_xlnm._FilterDatabase" localSheetId="5" hidden="1">'DESARROLLO ECONOMICO SOSTENIBLE'!$S$1:$S$26</definedName>
    <definedName name="_xlnm._FilterDatabase" localSheetId="6" hidden="1">'DESARROLLO SOCIAL'!$S$2:$S$70</definedName>
    <definedName name="_xlnm._FilterDatabase" localSheetId="2" hidden="1">'DESARROLLO Y GESTION INST.'!$S$2:$S$54</definedName>
    <definedName name="_xlnm._FilterDatabase" localSheetId="0" hidden="1">'GESTION AMBIENTAL Y ORD. T.'!$S$2:$S$50</definedName>
    <definedName name="_xlnm._FilterDatabase" localSheetId="1" hidden="1">'INVERSION PUBLICA'!$S$3:$S$41</definedName>
    <definedName name="_xlnm._FilterDatabase" localSheetId="3" hidden="1">'SEGURIDAD CIUDADANA'!$S$3:$S$24</definedName>
    <definedName name="_xlnm._FilterDatabase" localSheetId="4" hidden="1">'SERVICIOS PUBLICOS'!$S$2:$S$28</definedName>
    <definedName name="_xlnm.Print_Titles" localSheetId="5">'DESARROLLO ECONOMICO SOSTENIBLE'!$1:$8</definedName>
    <definedName name="_xlnm.Print_Titles" localSheetId="6">'DESARROLLO SOCIAL'!$1:$9</definedName>
    <definedName name="_xlnm.Print_Titles" localSheetId="2">'DESARROLLO Y GESTION INST.'!$1:$9</definedName>
    <definedName name="_xlnm.Print_Titles" localSheetId="0">'GESTION AMBIENTAL Y ORD. T.'!$1:$10</definedName>
    <definedName name="_xlnm.Print_Titles" localSheetId="1">'INVERSION PUBLICA'!$1:$17</definedName>
    <definedName name="_xlnm.Print_Titles" localSheetId="10">'METAS NO ALCANZADAS 100%'!$1:$7</definedName>
    <definedName name="_xlnm.Print_Titles" localSheetId="7">'PLAN LARGO PLAZO'!$1:$3</definedName>
    <definedName name="_xlnm.Print_Titles" localSheetId="3">'SEGURIDAD CIUDADANA'!$1:$9</definedName>
    <definedName name="_xlnm.Print_Titles" localSheetId="4">'SERVICIOS PUBLICOS'!$1:$9</definedName>
  </definedNames>
  <calcPr calcId="125725"/>
</workbook>
</file>

<file path=xl/calcChain.xml><?xml version="1.0" encoding="utf-8"?>
<calcChain xmlns="http://schemas.openxmlformats.org/spreadsheetml/2006/main">
  <c r="E193" i="13"/>
  <c r="E129"/>
  <c r="E46"/>
  <c r="N273"/>
  <c r="M273"/>
  <c r="N264"/>
  <c r="M264"/>
  <c r="N252"/>
  <c r="O252" s="1"/>
  <c r="M252"/>
  <c r="O230"/>
  <c r="N230"/>
  <c r="M230"/>
  <c r="N228"/>
  <c r="O228" s="1"/>
  <c r="M228"/>
  <c r="O226"/>
  <c r="N226"/>
  <c r="M226"/>
  <c r="O155"/>
  <c r="N155"/>
  <c r="M155"/>
  <c r="N132"/>
  <c r="O132" s="1"/>
  <c r="M132"/>
  <c r="N84"/>
  <c r="M84"/>
  <c r="O88"/>
  <c r="N88"/>
  <c r="M88"/>
  <c r="O84"/>
  <c r="O264" l="1"/>
  <c r="O273"/>
  <c r="E276"/>
  <c r="E275"/>
  <c r="E272"/>
  <c r="E269"/>
  <c r="E268"/>
  <c r="E267"/>
  <c r="E265"/>
  <c r="E262"/>
  <c r="D262"/>
  <c r="E260"/>
  <c r="E259"/>
  <c r="E255"/>
  <c r="E253"/>
  <c r="E252"/>
  <c r="E248"/>
  <c r="E230"/>
  <c r="E232"/>
  <c r="E136"/>
  <c r="E133"/>
  <c r="E105"/>
  <c r="F89"/>
  <c r="E84"/>
  <c r="E77"/>
  <c r="E76"/>
  <c r="E47"/>
  <c r="AC24" i="7"/>
  <c r="E124" i="13" l="1"/>
  <c r="E257" l="1"/>
  <c r="E130" l="1"/>
  <c r="E112"/>
  <c r="E118"/>
  <c r="E273"/>
  <c r="E79"/>
  <c r="E82"/>
  <c r="E282" l="1"/>
  <c r="F278"/>
  <c r="F276"/>
  <c r="F275"/>
  <c r="F274"/>
  <c r="F273"/>
  <c r="F272"/>
  <c r="F271"/>
  <c r="F270"/>
  <c r="F269"/>
  <c r="F268"/>
  <c r="F267"/>
  <c r="F265"/>
  <c r="F264"/>
  <c r="F262"/>
  <c r="F261"/>
  <c r="F260"/>
  <c r="F259"/>
  <c r="F258"/>
  <c r="F257"/>
  <c r="F256"/>
  <c r="F255"/>
  <c r="F254"/>
  <c r="F253"/>
  <c r="F252"/>
  <c r="F251"/>
  <c r="F250"/>
  <c r="F248"/>
  <c r="F247"/>
  <c r="E236"/>
  <c r="F232"/>
  <c r="F230"/>
  <c r="F229"/>
  <c r="F228"/>
  <c r="F227"/>
  <c r="F226"/>
  <c r="F225"/>
  <c r="F224"/>
  <c r="F223"/>
  <c r="E210"/>
  <c r="F193"/>
  <c r="F192"/>
  <c r="E181"/>
  <c r="F173"/>
  <c r="F156"/>
  <c r="F155"/>
  <c r="F154"/>
  <c r="F153"/>
  <c r="F152"/>
  <c r="F151"/>
  <c r="F150"/>
  <c r="K78"/>
  <c r="E139"/>
  <c r="F137"/>
  <c r="F136"/>
  <c r="F131"/>
  <c r="F130"/>
  <c r="F128"/>
  <c r="F127"/>
  <c r="F126"/>
  <c r="F125"/>
  <c r="F124"/>
  <c r="F123"/>
  <c r="F122"/>
  <c r="F121"/>
  <c r="F120"/>
  <c r="F118"/>
  <c r="F117"/>
  <c r="F116"/>
  <c r="F115"/>
  <c r="F113"/>
  <c r="F111"/>
  <c r="F109"/>
  <c r="F106"/>
  <c r="F105"/>
  <c r="F104"/>
  <c r="F103"/>
  <c r="F102"/>
  <c r="F101"/>
  <c r="E91"/>
  <c r="E20" s="1"/>
  <c r="F88"/>
  <c r="F87"/>
  <c r="F86"/>
  <c r="F85"/>
  <c r="F81"/>
  <c r="F80"/>
  <c r="F76"/>
  <c r="F75"/>
  <c r="F74"/>
  <c r="E63"/>
  <c r="F56"/>
  <c r="F50"/>
  <c r="F47"/>
  <c r="F45"/>
  <c r="F44"/>
  <c r="F43"/>
  <c r="F42"/>
  <c r="F41"/>
  <c r="F39"/>
  <c r="F37"/>
  <c r="F14"/>
  <c r="E10" l="1"/>
  <c r="E18"/>
  <c r="E12"/>
  <c r="E8"/>
  <c r="E16"/>
  <c r="E22"/>
  <c r="J135"/>
  <c r="I135"/>
  <c r="H135"/>
  <c r="G135"/>
  <c r="J46"/>
  <c r="I46"/>
  <c r="H46"/>
  <c r="G46"/>
  <c r="D46"/>
  <c r="J57"/>
  <c r="I57"/>
  <c r="H57"/>
  <c r="G57"/>
  <c r="C281"/>
  <c r="G280"/>
  <c r="K280" s="1"/>
  <c r="J279"/>
  <c r="I279"/>
  <c r="H279"/>
  <c r="G279"/>
  <c r="J276"/>
  <c r="I276"/>
  <c r="H276"/>
  <c r="G276"/>
  <c r="D276"/>
  <c r="K277"/>
  <c r="K274"/>
  <c r="J275"/>
  <c r="I275"/>
  <c r="H275"/>
  <c r="G275"/>
  <c r="D275"/>
  <c r="C235"/>
  <c r="J232"/>
  <c r="I232"/>
  <c r="H232"/>
  <c r="G232"/>
  <c r="D232"/>
  <c r="J231"/>
  <c r="I231"/>
  <c r="H231"/>
  <c r="G231"/>
  <c r="C180"/>
  <c r="K157"/>
  <c r="K158"/>
  <c r="K159"/>
  <c r="K160"/>
  <c r="K163"/>
  <c r="K164"/>
  <c r="K165"/>
  <c r="K166"/>
  <c r="K167"/>
  <c r="K168"/>
  <c r="K169"/>
  <c r="K170"/>
  <c r="K177"/>
  <c r="K176"/>
  <c r="K175"/>
  <c r="K173"/>
  <c r="K172"/>
  <c r="K171"/>
  <c r="J174"/>
  <c r="I174"/>
  <c r="H174"/>
  <c r="J153"/>
  <c r="I153"/>
  <c r="H153"/>
  <c r="G153"/>
  <c r="D153"/>
  <c r="J51"/>
  <c r="I51"/>
  <c r="H51"/>
  <c r="C138"/>
  <c r="J136"/>
  <c r="I136"/>
  <c r="H136"/>
  <c r="G136"/>
  <c r="K137"/>
  <c r="K134"/>
  <c r="J133"/>
  <c r="I133"/>
  <c r="H133"/>
  <c r="G133"/>
  <c r="D133"/>
  <c r="F133" s="1"/>
  <c r="K87"/>
  <c r="K86"/>
  <c r="K85"/>
  <c r="K45"/>
  <c r="C62"/>
  <c r="K60"/>
  <c r="K59"/>
  <c r="K58"/>
  <c r="K57"/>
  <c r="K56"/>
  <c r="K55"/>
  <c r="K53"/>
  <c r="K52"/>
  <c r="J61"/>
  <c r="I61"/>
  <c r="H61"/>
  <c r="J54"/>
  <c r="I54"/>
  <c r="H54"/>
  <c r="E26" l="1"/>
  <c r="K276"/>
  <c r="K51"/>
  <c r="K275"/>
  <c r="F46"/>
  <c r="K46" s="1"/>
  <c r="K279"/>
  <c r="K174"/>
  <c r="K54"/>
  <c r="K61"/>
  <c r="K133"/>
  <c r="K135"/>
  <c r="K136"/>
  <c r="J84" l="1"/>
  <c r="I84"/>
  <c r="H84"/>
  <c r="G84"/>
  <c r="D84"/>
  <c r="F84" s="1"/>
  <c r="K132"/>
  <c r="K131"/>
  <c r="K130"/>
  <c r="I129"/>
  <c r="H129"/>
  <c r="G129"/>
  <c r="D129"/>
  <c r="F129" s="1"/>
  <c r="K128"/>
  <c r="K127"/>
  <c r="K126"/>
  <c r="K125"/>
  <c r="K124"/>
  <c r="K123"/>
  <c r="K122"/>
  <c r="K121"/>
  <c r="K120"/>
  <c r="K119"/>
  <c r="K118"/>
  <c r="K117"/>
  <c r="K116"/>
  <c r="K115"/>
  <c r="H114"/>
  <c r="G114"/>
  <c r="D114"/>
  <c r="F114" s="1"/>
  <c r="J113"/>
  <c r="I113"/>
  <c r="H113"/>
  <c r="G113"/>
  <c r="D112"/>
  <c r="K111"/>
  <c r="K110"/>
  <c r="K109"/>
  <c r="K108"/>
  <c r="J107"/>
  <c r="I107"/>
  <c r="H107"/>
  <c r="H139" s="1"/>
  <c r="G107"/>
  <c r="D107"/>
  <c r="F107" s="1"/>
  <c r="K106"/>
  <c r="K105"/>
  <c r="K104"/>
  <c r="K103"/>
  <c r="K102"/>
  <c r="K101"/>
  <c r="C90"/>
  <c r="G89"/>
  <c r="D89"/>
  <c r="K88"/>
  <c r="K83"/>
  <c r="J82"/>
  <c r="I82"/>
  <c r="H82"/>
  <c r="G82"/>
  <c r="D82"/>
  <c r="F82" s="1"/>
  <c r="K81"/>
  <c r="K80"/>
  <c r="J79"/>
  <c r="I79"/>
  <c r="H79"/>
  <c r="G79"/>
  <c r="D79"/>
  <c r="F79" s="1"/>
  <c r="J77"/>
  <c r="I77"/>
  <c r="H77"/>
  <c r="G77"/>
  <c r="D77"/>
  <c r="F77" s="1"/>
  <c r="K76"/>
  <c r="K75"/>
  <c r="K74"/>
  <c r="K50"/>
  <c r="J49"/>
  <c r="I49"/>
  <c r="H49"/>
  <c r="G49"/>
  <c r="D49"/>
  <c r="F49" s="1"/>
  <c r="K48"/>
  <c r="K47"/>
  <c r="K44"/>
  <c r="K43"/>
  <c r="K42"/>
  <c r="K41"/>
  <c r="K39"/>
  <c r="J38"/>
  <c r="J63" s="1"/>
  <c r="I38"/>
  <c r="H38"/>
  <c r="G38"/>
  <c r="G63" s="1"/>
  <c r="D38"/>
  <c r="K37"/>
  <c r="C209"/>
  <c r="K208"/>
  <c r="K207"/>
  <c r="K206"/>
  <c r="K205"/>
  <c r="K204"/>
  <c r="K203"/>
  <c r="K202"/>
  <c r="K201"/>
  <c r="K200"/>
  <c r="K199"/>
  <c r="K198"/>
  <c r="K197"/>
  <c r="K196"/>
  <c r="K195"/>
  <c r="K194"/>
  <c r="K193"/>
  <c r="J192"/>
  <c r="J210" s="1"/>
  <c r="J16" s="1"/>
  <c r="I192"/>
  <c r="I210" s="1"/>
  <c r="I16" s="1"/>
  <c r="H192"/>
  <c r="H210" s="1"/>
  <c r="H16" s="1"/>
  <c r="G192"/>
  <c r="G210" s="1"/>
  <c r="G16" s="1"/>
  <c r="D192"/>
  <c r="D210" s="1"/>
  <c r="F210" s="1"/>
  <c r="J156"/>
  <c r="J181" s="1"/>
  <c r="I156"/>
  <c r="I181" s="1"/>
  <c r="H156"/>
  <c r="H181" s="1"/>
  <c r="G156"/>
  <c r="G181" s="1"/>
  <c r="D156"/>
  <c r="D181" s="1"/>
  <c r="F181" s="1"/>
  <c r="K155"/>
  <c r="K154"/>
  <c r="K152"/>
  <c r="K151"/>
  <c r="K150"/>
  <c r="J273"/>
  <c r="I273"/>
  <c r="H273"/>
  <c r="G273"/>
  <c r="D273"/>
  <c r="J272"/>
  <c r="I272"/>
  <c r="H272"/>
  <c r="G272"/>
  <c r="D272"/>
  <c r="K271"/>
  <c r="J269"/>
  <c r="I269"/>
  <c r="H269"/>
  <c r="G269"/>
  <c r="D269"/>
  <c r="J268"/>
  <c r="I268"/>
  <c r="H268"/>
  <c r="G268"/>
  <c r="D268"/>
  <c r="K267"/>
  <c r="J265"/>
  <c r="I265"/>
  <c r="H265"/>
  <c r="G265"/>
  <c r="K264"/>
  <c r="K263"/>
  <c r="K262"/>
  <c r="K261"/>
  <c r="J260"/>
  <c r="I260"/>
  <c r="H260"/>
  <c r="G260"/>
  <c r="D260"/>
  <c r="J259"/>
  <c r="I259"/>
  <c r="H259"/>
  <c r="G259"/>
  <c r="D259"/>
  <c r="K258"/>
  <c r="K257"/>
  <c r="K256"/>
  <c r="J255"/>
  <c r="I255"/>
  <c r="H255"/>
  <c r="G255"/>
  <c r="D255"/>
  <c r="K254"/>
  <c r="J253"/>
  <c r="I253"/>
  <c r="H253"/>
  <c r="G253"/>
  <c r="D253"/>
  <c r="J252"/>
  <c r="I252"/>
  <c r="H252"/>
  <c r="G252"/>
  <c r="D252"/>
  <c r="K251"/>
  <c r="K250"/>
  <c r="J249"/>
  <c r="I249"/>
  <c r="H249"/>
  <c r="G249"/>
  <c r="J248"/>
  <c r="I248"/>
  <c r="I282" s="1"/>
  <c r="H248"/>
  <c r="G248"/>
  <c r="D248"/>
  <c r="H247"/>
  <c r="H282" s="1"/>
  <c r="G247"/>
  <c r="D247"/>
  <c r="K246"/>
  <c r="K234"/>
  <c r="K233"/>
  <c r="K232"/>
  <c r="K231"/>
  <c r="J230"/>
  <c r="I230"/>
  <c r="H230"/>
  <c r="G230"/>
  <c r="D230"/>
  <c r="J229"/>
  <c r="I229"/>
  <c r="H229"/>
  <c r="G229"/>
  <c r="D229"/>
  <c r="K228"/>
  <c r="K227"/>
  <c r="J226"/>
  <c r="I226"/>
  <c r="H226"/>
  <c r="G226"/>
  <c r="D226"/>
  <c r="K225"/>
  <c r="H224"/>
  <c r="D224"/>
  <c r="J223"/>
  <c r="J236" s="1"/>
  <c r="I223"/>
  <c r="H223"/>
  <c r="G223"/>
  <c r="D223"/>
  <c r="C26"/>
  <c r="K14"/>
  <c r="J12"/>
  <c r="J18"/>
  <c r="I91" l="1"/>
  <c r="I139"/>
  <c r="I22" s="1"/>
  <c r="G139"/>
  <c r="G22" s="1"/>
  <c r="G236"/>
  <c r="J282"/>
  <c r="J10" s="1"/>
  <c r="F91"/>
  <c r="D63"/>
  <c r="F38"/>
  <c r="G282"/>
  <c r="G10" s="1"/>
  <c r="F112"/>
  <c r="D282"/>
  <c r="F282" s="1"/>
  <c r="D236"/>
  <c r="F236" s="1"/>
  <c r="I236"/>
  <c r="I8" s="1"/>
  <c r="H236"/>
  <c r="H8" s="1"/>
  <c r="D139"/>
  <c r="F139" s="1"/>
  <c r="J139"/>
  <c r="J22" s="1"/>
  <c r="I63"/>
  <c r="I18" s="1"/>
  <c r="H91"/>
  <c r="H63"/>
  <c r="H18" s="1"/>
  <c r="G91"/>
  <c r="G20" s="1"/>
  <c r="G12"/>
  <c r="D91"/>
  <c r="D20" s="1"/>
  <c r="F20" s="1"/>
  <c r="J91"/>
  <c r="J20" s="1"/>
  <c r="K89"/>
  <c r="J8"/>
  <c r="K79"/>
  <c r="K84"/>
  <c r="K224"/>
  <c r="H20"/>
  <c r="K113"/>
  <c r="G18"/>
  <c r="K77"/>
  <c r="K223"/>
  <c r="K230"/>
  <c r="H10"/>
  <c r="I10"/>
  <c r="K252"/>
  <c r="K255"/>
  <c r="K259"/>
  <c r="K260"/>
  <c r="K265"/>
  <c r="K268"/>
  <c r="D12"/>
  <c r="F12" s="1"/>
  <c r="K156"/>
  <c r="K114"/>
  <c r="K226"/>
  <c r="K229"/>
  <c r="K247"/>
  <c r="K253"/>
  <c r="K272"/>
  <c r="K273"/>
  <c r="I12"/>
  <c r="G8"/>
  <c r="H12"/>
  <c r="I20"/>
  <c r="K82"/>
  <c r="K129"/>
  <c r="K107"/>
  <c r="K248"/>
  <c r="K192"/>
  <c r="K49"/>
  <c r="K249"/>
  <c r="H22"/>
  <c r="K153"/>
  <c r="K210"/>
  <c r="D16"/>
  <c r="D8" l="1"/>
  <c r="F8" s="1"/>
  <c r="D18"/>
  <c r="F18" s="1"/>
  <c r="K18" s="1"/>
  <c r="F63"/>
  <c r="K63" s="1"/>
  <c r="K112"/>
  <c r="K38"/>
  <c r="J26"/>
  <c r="G26"/>
  <c r="F16"/>
  <c r="K16" s="1"/>
  <c r="I26"/>
  <c r="H26"/>
  <c r="K181"/>
  <c r="K12"/>
  <c r="K20"/>
  <c r="K139"/>
  <c r="D22"/>
  <c r="F22" s="1"/>
  <c r="K282"/>
  <c r="K91"/>
  <c r="D10"/>
  <c r="K236"/>
  <c r="K8"/>
  <c r="F10" l="1"/>
  <c r="K22"/>
  <c r="D26"/>
  <c r="F26" s="1"/>
  <c r="K26" l="1"/>
  <c r="K10"/>
</calcChain>
</file>

<file path=xl/comments1.xml><?xml version="1.0" encoding="utf-8"?>
<comments xmlns="http://schemas.openxmlformats.org/spreadsheetml/2006/main">
  <authors>
    <author>J_Fernandez</author>
  </authors>
  <commentList>
    <comment ref="N11" authorId="0">
      <text>
        <r>
          <rPr>
            <b/>
            <sz val="9"/>
            <color indexed="81"/>
            <rFont val="Tahoma"/>
            <family val="2"/>
          </rPr>
          <t>J_Fernandez:</t>
        </r>
        <r>
          <rPr>
            <sz val="9"/>
            <color indexed="81"/>
            <rFont val="Tahoma"/>
            <family val="2"/>
          </rPr>
          <t xml:space="preserve">
Estaba para 2012 se esta pidiendo cambio 
2013
</t>
        </r>
      </text>
    </comment>
    <comment ref="O11" authorId="0">
      <text>
        <r>
          <rPr>
            <b/>
            <sz val="9"/>
            <color indexed="81"/>
            <rFont val="Tahoma"/>
            <family val="2"/>
          </rPr>
          <t>J_Fernandez:</t>
        </r>
        <r>
          <rPr>
            <sz val="9"/>
            <color indexed="81"/>
            <rFont val="Tahoma"/>
            <family val="2"/>
          </rPr>
          <t xml:space="preserve">
cambiar programación a partir 2013
</t>
        </r>
      </text>
    </comment>
    <comment ref="O12" authorId="0">
      <text>
        <r>
          <rPr>
            <b/>
            <sz val="9"/>
            <color indexed="81"/>
            <rFont val="Tahoma"/>
            <family val="2"/>
          </rPr>
          <t>J_Fernandez:</t>
        </r>
        <r>
          <rPr>
            <sz val="9"/>
            <color indexed="81"/>
            <rFont val="Tahoma"/>
            <family val="2"/>
          </rPr>
          <t xml:space="preserve">
estaba para 2013 se esta pidiendo cambio para 2014 
a partir 2014
</t>
        </r>
      </text>
    </comment>
    <comment ref="P12" authorId="0">
      <text>
        <r>
          <rPr>
            <b/>
            <sz val="9"/>
            <color indexed="81"/>
            <rFont val="Tahoma"/>
            <family val="2"/>
          </rPr>
          <t>J_Fernandez:</t>
        </r>
        <r>
          <rPr>
            <sz val="9"/>
            <color indexed="81"/>
            <rFont val="Tahoma"/>
            <family val="2"/>
          </rPr>
          <t xml:space="preserve">
cambiar programación a partir 2014
</t>
        </r>
      </text>
    </comment>
    <comment ref="N20" authorId="0">
      <text>
        <r>
          <rPr>
            <b/>
            <sz val="9"/>
            <color indexed="81"/>
            <rFont val="Tahoma"/>
            <family val="2"/>
          </rPr>
          <t>J_Fernandez:</t>
        </r>
        <r>
          <rPr>
            <sz val="9"/>
            <color indexed="81"/>
            <rFont val="Tahoma"/>
            <family val="2"/>
          </rPr>
          <t xml:space="preserve">
estaba para 2012 se esta pidiendo cambio para 
 2013
</t>
        </r>
      </text>
    </comment>
    <comment ref="O20" authorId="0">
      <text>
        <r>
          <rPr>
            <b/>
            <sz val="9"/>
            <color indexed="81"/>
            <rFont val="Tahoma"/>
            <family val="2"/>
          </rPr>
          <t>J_Fernandez:</t>
        </r>
        <r>
          <rPr>
            <sz val="9"/>
            <color indexed="81"/>
            <rFont val="Tahoma"/>
            <family val="2"/>
          </rPr>
          <t xml:space="preserve">
Cambiar programación a 2013
</t>
        </r>
      </text>
    </comment>
  </commentList>
</comments>
</file>

<file path=xl/comments2.xml><?xml version="1.0" encoding="utf-8"?>
<comments xmlns="http://schemas.openxmlformats.org/spreadsheetml/2006/main">
  <authors>
    <author>J_Fernandez</author>
  </authors>
  <commentList>
    <comment ref="K21" authorId="0">
      <text>
        <r>
          <rPr>
            <b/>
            <sz val="9"/>
            <color indexed="81"/>
            <rFont val="Tahoma"/>
            <family val="2"/>
          </rPr>
          <t>J_Fernandez:</t>
        </r>
        <r>
          <rPr>
            <sz val="9"/>
            <color indexed="81"/>
            <rFont val="Tahoma"/>
            <family val="2"/>
          </rPr>
          <t xml:space="preserve">
Cambiar cantidad programada de acuerdo al Plan LP, estaba para 600 se esta pidiendo a 3000
</t>
        </r>
      </text>
    </comment>
    <comment ref="K36" authorId="0">
      <text>
        <r>
          <rPr>
            <b/>
            <sz val="9"/>
            <color indexed="81"/>
            <rFont val="Tahoma"/>
            <family val="2"/>
          </rPr>
          <t>J_Fernandez:</t>
        </r>
        <r>
          <rPr>
            <sz val="9"/>
            <color indexed="81"/>
            <rFont val="Tahoma"/>
            <family val="2"/>
          </rPr>
          <t xml:space="preserve">
corredor accesible</t>
        </r>
      </text>
    </comment>
    <comment ref="C42" authorId="0">
      <text>
        <r>
          <rPr>
            <b/>
            <sz val="9"/>
            <color indexed="81"/>
            <rFont val="Tahoma"/>
            <family val="2"/>
          </rPr>
          <t>J_Fernandez:</t>
        </r>
        <r>
          <rPr>
            <sz val="9"/>
            <color indexed="81"/>
            <rFont val="Tahoma"/>
            <family val="2"/>
          </rPr>
          <t xml:space="preserve">
Implementación está incluido meta recarpeteo y bacheo.
</t>
        </r>
      </text>
    </comment>
  </commentList>
</comments>
</file>

<file path=xl/comments3.xml><?xml version="1.0" encoding="utf-8"?>
<comments xmlns="http://schemas.openxmlformats.org/spreadsheetml/2006/main">
  <authors>
    <author>J_Fernandez</author>
  </authors>
  <commentList>
    <comment ref="K66" authorId="0">
      <text>
        <r>
          <rPr>
            <b/>
            <sz val="9"/>
            <color indexed="81"/>
            <rFont val="Tahoma"/>
            <family val="2"/>
          </rPr>
          <t xml:space="preserve">Como se verificaría que se realiza la supervisión, debe haber algún mecanismo 
</t>
        </r>
      </text>
    </comment>
  </commentList>
</comments>
</file>

<file path=xl/sharedStrings.xml><?xml version="1.0" encoding="utf-8"?>
<sst xmlns="http://schemas.openxmlformats.org/spreadsheetml/2006/main" count="3189" uniqueCount="1929">
  <si>
    <t>Desarrollo Social</t>
  </si>
  <si>
    <t xml:space="preserve">3.6.1.Estudio de tiempos y movimientos </t>
  </si>
  <si>
    <t xml:space="preserve">3.7.Seguridad Laboral </t>
  </si>
  <si>
    <t>3.7.1.Reglamento y Manuales  en Salud Ocupacional</t>
  </si>
  <si>
    <t>3.7.1.1.Políticas en Salud Ocupacional</t>
  </si>
  <si>
    <t>3.7.1.2.Manuales de Procedimientos establecidos En Salud Ocupacional a nivel Institucional</t>
  </si>
  <si>
    <t xml:space="preserve">3.7.1.3.Reglamento Institucional de  Salud Ocupacional </t>
  </si>
  <si>
    <t xml:space="preserve">3.8.Desarrollo Humano </t>
  </si>
  <si>
    <t>3.8.1.1.Proyecto de capacitación.</t>
  </si>
  <si>
    <t xml:space="preserve"> 3.8.1.2.Implementación del Plan de capacitación </t>
  </si>
  <si>
    <t>3.9.Servicios Digitales</t>
  </si>
  <si>
    <t>3.9.1.Implementación de la Red de Servicios Digitales</t>
  </si>
  <si>
    <t xml:space="preserve">3.9.1.1.Análisis y Diseño de la Arquitectura de Informática </t>
  </si>
  <si>
    <t>3.9.1.2.Implementación de la arquitectura de informática</t>
  </si>
  <si>
    <t>3.10.Trámite de quejas, denuncias de los contribuyentes</t>
  </si>
  <si>
    <t>3.10.1.Plan de mejoramiento de los servicios que brinda la Municipalidad.</t>
  </si>
  <si>
    <t>3.10.1.2.Implementar acciones para mejorar los servicios municipales de acuerdo a los resultados del diagnóstico.</t>
  </si>
  <si>
    <t>3.11.Imagen Interna y Externa de la Municipalidad</t>
  </si>
  <si>
    <t xml:space="preserve">3.11.1.Plan Anual de Medios de comunicación masiva </t>
  </si>
  <si>
    <t>3.11.1.1.Implementar acciones para incrementar  la presencia en los medios de comunicación a través de pauta directa y publicity</t>
  </si>
  <si>
    <t xml:space="preserve">3.11.2.Plan de medios en redes sociales que propicie espacios de opinión, consulta y creación de información </t>
  </si>
  <si>
    <t>3.11.2.1.Implemenar el Plan de Medios sociales</t>
  </si>
  <si>
    <t>3.11.3.Coordinar con al Comisión de  Cultura y Unidad Administrativa a cargo para divulgar y promover la cultura Herediana.</t>
  </si>
  <si>
    <t>3.11.3.1.Producir documental y/o folletos con información cultural según las actividades que se desarrollen cada año.</t>
  </si>
  <si>
    <t>3.12.Comunicación y Divulgación a nivel  Interno y Externo</t>
  </si>
  <si>
    <t>3.12.1.Plan de Mejoramiento de la Comunicación y Divulgación  Interna  de la Municipalidad</t>
  </si>
  <si>
    <t>3.12.1.1.Implementar acciones  a nivel interno para mejorar la comunicación y divulgación de resultados obtenidos .</t>
  </si>
  <si>
    <t xml:space="preserve">3.12.2.1.Creación de  un medio de comunicación escrito </t>
  </si>
  <si>
    <t>3.12.2.Medio de comunicación escrito propio.</t>
  </si>
  <si>
    <t>3.13.Declaraciones de Bienes Inmuebles</t>
  </si>
  <si>
    <t>3.13.1.Digitalización de las Declaraciones de Bienes Inmuebles.</t>
  </si>
  <si>
    <t>3.13.1.1. Realizar la digitalización del 100% de las declaraciones de Bienes Inmuebles que se presenten en el año.</t>
  </si>
  <si>
    <t>3.14.1.1. Realizar la digitalización del 100% de las No Afectaciones de Bienes Inmuebles que se presenten en el año.</t>
  </si>
  <si>
    <t>3.14.1.Digitalización de las No Afectaciones de Bienes Inmuebles.</t>
  </si>
  <si>
    <t>3.14. Proceso de No Afectación.</t>
  </si>
  <si>
    <t>3.16. Recaudación de impuestos</t>
  </si>
  <si>
    <t>3.16.1. Conectividad con otros bancos y ampliación de horario en cajas para cobros de fin de trimestre.</t>
  </si>
  <si>
    <t>3.16.1.1. Gestionar la conectividad con otros bancos y la ampliación de horarios para cierres de trimestre.</t>
  </si>
  <si>
    <t>3.17.1.1. Implementar la recepción de garantías  mediante depósitos electrónicos u otros mecanismos virtuales.</t>
  </si>
  <si>
    <t>3.17.1. Establecer mecanismos financieros para la recepción de garantías.</t>
  </si>
  <si>
    <t>3.17. Custodia de valores y fondos públicos</t>
  </si>
  <si>
    <t>3.15.1. Aplicación de las Normas Internacionales de Contabilidad del Sector Público (N.I.C.S.P.)</t>
  </si>
  <si>
    <t>3.15.1.1.Concluir la actualización y revaloración de los activos institucionales</t>
  </si>
  <si>
    <t>3.15.Estados Financieros</t>
  </si>
  <si>
    <t>3.19.Sesiones del Concejo Municipal</t>
  </si>
  <si>
    <t>3.18.1. Pago electrónico de servicios y proveedores.</t>
  </si>
  <si>
    <t>3.18.1.1.Dar continuidad al pago de servicios y proveedores por medios electrónicos.</t>
  </si>
  <si>
    <t>3.19.1.1. Realizar las acciones pertinentes para adquirir y poner en funcionamiento el Sistema de grabación con video.</t>
  </si>
  <si>
    <t>3.19.1. Sistema de grabación con video.</t>
  </si>
  <si>
    <t>3.20. Notificación de acuerdos, resoluciones y documentos.</t>
  </si>
  <si>
    <t>3.20.1. Sistema de firma digital.</t>
  </si>
  <si>
    <t>3.20.1.1. Realizar las acciones pertinentes para adquirir y poner en funcionamiento un Sistema de firma digital.</t>
  </si>
  <si>
    <t>3.21.1.1. Implementar un sistema de seguimiento y monitoreo del Plan de Desarrollo Municipal</t>
  </si>
  <si>
    <t>3.21.1.Sistema de seguimiento Plan de Desarrollo Municipal</t>
  </si>
  <si>
    <t>3.21. Plan de Desarrollo Municipal</t>
  </si>
  <si>
    <t>3.22.Envío de recibos  y/o estados de cuenta</t>
  </si>
  <si>
    <t>3.22.1.Establecer un enlace entre el Municipio y la E.S.P.H., para que en forma simultanea se distribuyan los recibos de los servicios públicos y los tributos municipales</t>
  </si>
  <si>
    <t>3.22.1.2. Enlazar el 100% las bases de datos de la E.S.P.H. y la del municipio</t>
  </si>
  <si>
    <t>3.23.Salud Ocupacional</t>
  </si>
  <si>
    <t xml:space="preserve">3.23.1.Brindar mejores condiciones para la atención de la salud del personal municipal.
</t>
  </si>
  <si>
    <t>3.23.1.2.Promover  acciones para la salud ocupacional del personal municipal en coordinación con el  INA y otras instituciones..</t>
  </si>
  <si>
    <t>3.24. Política de Igualdad y Equidad de Género</t>
  </si>
  <si>
    <t>3.24.2.Valorar el avance en implementación de la política con el fin de establecer mejoras de ser necesario.</t>
  </si>
  <si>
    <t xml:space="preserve">3.24.2.1.Evaluación intermedia del avance de la política de igualdad y equidad. </t>
  </si>
  <si>
    <t>3.24.2.2.Evaluación final de política de igualdad y equidad.</t>
  </si>
  <si>
    <t>3.3.2.Analisis gerencial del Funcionamiento del Sistema Específico de Valoración de Riesgos Institucional</t>
  </si>
  <si>
    <t>3.3.2.1.Analizar  los avances en el funcionamiento del Sistema nivel Gerencial (Titulares de Alcaldía, Planificación y Direcciones)</t>
  </si>
  <si>
    <t>3.3.1.Herramientas digitales para el desarrollo sistemático de la Valoración de Riesgos Institucional</t>
  </si>
  <si>
    <t>3.3.1.1.Formular y/o mejorar las herramientas para el desarrollo anual del Proceso de Valoración de Riesgos Institucional</t>
  </si>
  <si>
    <t>4.1. Programa Seguridad Ciudadana</t>
  </si>
  <si>
    <t>4.1.1.1.Crear cuatro plazas de Policía Municipal por año</t>
  </si>
  <si>
    <t xml:space="preserve">4.1.2.1. Implementación del  proyecto Seguridad Herediana Digital </t>
  </si>
  <si>
    <t>4.1.2. Seguridad Herediana digital.</t>
  </si>
  <si>
    <t>4.1.3. Generar acciones para que las instancias policiales y judiciales con presencia local,  ejerzan las potestades que la ley les otorga en materia de seguridad.</t>
  </si>
  <si>
    <t>4.1.3.1.Realizar un proyecto de integración institucional para mejorar la seguridad ciudadana, mediante convenios, capacitaciones, redes de comunicación unificada, acceso al sistema de monitoreo y programas preventivos con las diferentes  Policías Administrativas y represivas.</t>
  </si>
  <si>
    <t>4.1.4. Crear alianzas entre la policía municipal y las organizaciones comunales en cuestiones de   Seguridad ciudadana.</t>
  </si>
  <si>
    <t>4.1.4.1.Crear una sub unidad de Seguridad Comunitaria para capacitar a las comunidades de forma permanente</t>
  </si>
  <si>
    <t>4.1.4.2.Realizar una reunión anual  de coordinación con los lideres comunales.</t>
  </si>
  <si>
    <t>4.1.4.3.Realizar 12 reuniones anuales con las comunidades</t>
  </si>
  <si>
    <t>4.1.4.4.Realizar cinco capacitaciones anuales en comunidades "Ojos y Oídos".</t>
  </si>
  <si>
    <t>4.1.5. Establecer una subdelegación policial en San Francisco.</t>
  </si>
  <si>
    <t>4.1.5.1.Presentar propuesta a la Alcaldía Municipal para poder realizar convenios con las Asociaciones de Desarrollo, para préstamos de oficinas y creación plazas por subdelegación.</t>
  </si>
  <si>
    <t>4.1.6. Instalación de cámaras de seguridad, acode al desarrollo del proyecto de "Seguridad Herediana Digital".</t>
  </si>
  <si>
    <t>4.1.6.1.Coordinar con la Alcaldía la implementación paulatina de cámaras de seguridad en todo el cantón.</t>
  </si>
  <si>
    <t>4.2.Programas preventivo en materia de seguridad</t>
  </si>
  <si>
    <t>4.2.1 Prevenir el delito y  consumo de drogas no autorizadas por medio de programas de Educación en Escuelas y Colegios del Cantón Central de Heredia.</t>
  </si>
  <si>
    <t>4.2.1.1. Realizar la coordinación con la Dirección regional  del MEP para implementar proyecto.</t>
  </si>
  <si>
    <t>4.2.1.2.Realizar dos reuniones anuales para enlazar a todas la instituciones de primaria y secundaria del Cantón central de Heredia.</t>
  </si>
  <si>
    <t>5.1. Programa del Servicios de  Limpieza de vías, parques y recolección de basura</t>
  </si>
  <si>
    <t>5.1.1.1.Limpieza del 100%  de vías del Distrito Central</t>
  </si>
  <si>
    <t>5.1.1.2. Limpieza de  parques   del Cantón Central de Heredia</t>
  </si>
  <si>
    <t>5.1.1.3. Brindar el servicio de recolección de basura al 100% de los contribuyentes del Cantón Central de Heredia.</t>
  </si>
  <si>
    <t>5.2. Programa del Servicio de Cementerio</t>
  </si>
  <si>
    <t>5.2.1.Digitalización e identificación de derechos</t>
  </si>
  <si>
    <t>5.2.1.1.Realizar el levantamiento físico de los expedientes y derechos en campo</t>
  </si>
  <si>
    <t>5.2.1.2.Realizar un proceso de digitalización de todos los expedientes de propietarios y usos de los derechos.</t>
  </si>
  <si>
    <t>5.2.2.Rotulación Accesible para los Cementerios del Cantón</t>
  </si>
  <si>
    <t>5.2.2.1. Realizar la rotulación en los Cementerio  accesible a todos los usuarios.</t>
  </si>
  <si>
    <t>6.1. Programa de capacitación continua y generación de empleo para la creación de pequeñas y medianas empresas</t>
  </si>
  <si>
    <t>6.1.1. Proyecto de  capacitación continúa para la generación de empleo y creación de pequeñas y medianas empresas.</t>
  </si>
  <si>
    <t>6.1.1.1. Realizar 2 capacitaciones anuales de acuerdo a las necesidades laborales del cantón</t>
  </si>
  <si>
    <t>6.1.1.2. Realizar una capacitación  anual sobre la creación de pequeñas y medianas empresas</t>
  </si>
  <si>
    <t>6.1.2.Crear un Mercado Local de Mujeres Emprendedoras</t>
  </si>
  <si>
    <t>6.1.2.1.Generar condiciones de negociación con entidades participantes (Mujeres empresarias organizadas, sector privado)</t>
  </si>
  <si>
    <t>6.1.2.2.Apertura de Feria de Mujeres Emprendedoras</t>
  </si>
  <si>
    <t>6.1.3.2.Gestión de fondos para implementar el proyecto. (Cooperación Internacional, Empresa Privada).</t>
  </si>
  <si>
    <t>6.1.4.Fortalecer el desarrollo económico local por medio del impulso de micro emprendimientos realizados por mujeres y personas en condiciones de mayor vulnerabilidad social.</t>
  </si>
  <si>
    <t>6.1.4.1.Realizar un diagnóstico cantonal con el fin de que se identifiquen posibles nichos de mercado en el  Cantón para orientar los micro emprendimientos</t>
  </si>
  <si>
    <t xml:space="preserve">6.1.4.2.Implementar un Programa con enfoque de género para la Atención Integral de Personas Emprendedoras del Cantón que integre mecanismos de identificación y seguimiento para la creación de pequeñas empresas </t>
  </si>
  <si>
    <t>6.3.Programa de desarrollo económico por medio de la actividad turística ecológica y artesanal</t>
  </si>
  <si>
    <t>6.3.1. Modernización y Accesibilidad del Complejo Turístico Las Chorreras</t>
  </si>
  <si>
    <t>6.3.1.1.Realizar el diseño del Complejo Turístico Las Chorreras para Modernizarlo y hacerlo accesible.</t>
  </si>
  <si>
    <t>6.3.1.2. Implementar el proyecto de Modernización y Accesibilidad del Complejo Turístico Las Chorreras</t>
  </si>
  <si>
    <t>6.3.2. Promover la actividad turística, ecológica , artesanal y cultural</t>
  </si>
  <si>
    <t>6.3.2.1.Realizar al menos dos actividades anuales que promuevan  la actividad turística, ecológica, artesanal y cultural</t>
  </si>
  <si>
    <t xml:space="preserve">6.3.2.2. Concluir la formulación de una Política Municipal en materia de Turismo </t>
  </si>
  <si>
    <t xml:space="preserve">6.3.2.3. Implementar la  Política Municipal en materia de Turismo </t>
  </si>
  <si>
    <t>7.1. Programa de  Atención Integral de la población vulnerabilizada</t>
  </si>
  <si>
    <t>7.1.1. Impulsar la creación de un Centro Infantil Municipal para el cuido de personas menores de edad de los 0 a los 12 años, con horario de funcionamiento 6 am a 6 pm.</t>
  </si>
  <si>
    <t xml:space="preserve">7.1.1.1.Generar condiciones de negociación con entidades participantes. </t>
  </si>
  <si>
    <t>7.1.1.2.Gestión de recursos humanos, materiales y económicos</t>
  </si>
  <si>
    <t>7.1.1.3.Apertura del centro infantil municipal de cuido</t>
  </si>
  <si>
    <t xml:space="preserve">7.1.2.Implementar espacios de cuido para personas menores de edad paralelos a las reuniones y capacitaciones que promueve y coordina la Municipalidad de manera que las personas que asistan puedan contar con un servicio de calidad para el cuido de niños y niñas mientras participan de estas convocatorias. </t>
  </si>
  <si>
    <t xml:space="preserve">7.1.2.1.Sensibilizar y divulgar en las distintas unidades administrativas, organizaciones y fuerzas vivas de  la comunidad sobre la importancia de planificar espacios de cuido para personas menores de edad, paralelos a las reuniones que se convoquen. </t>
  </si>
  <si>
    <t>7.1.2.2.Construir una base de datos de personas que puedan brindar el servicio de cuido</t>
  </si>
  <si>
    <t xml:space="preserve">7.1.2.3Contemplar dentro de las especificaciones técnicas de contrataciones por servicios profesionales para capacitación en las comunidades, el rubro de cuido de personas menores de edad. </t>
  </si>
  <si>
    <t>7.1.2.4.Brindar espacios para el cuido de personas menores de edad paralelos a los procesos de capacitación que desarrollen todas las unidades administrativas de la Municipalidad con las comunidades.</t>
  </si>
  <si>
    <t>7.1.3.Proteger los derechos humanos de los niños y las niñas frente al abuso sexual</t>
  </si>
  <si>
    <t xml:space="preserve">7.1.3.1.Promover la implementación en los centros educativos de primaria del Cantón una  campaña anual para la prevención del abuso sexual contra personas menores de edad. </t>
  </si>
  <si>
    <t xml:space="preserve">7.1.3.2.Evaluar impacto de campaña realizada. </t>
  </si>
  <si>
    <t>7.1.3.3.Segunda edición de campaña anual para la prevención del abuso sexual contra personas menores de edad.</t>
  </si>
  <si>
    <t xml:space="preserve">7.1.4.Apoyar la gestión de  Centros Diurnos para Personas Adultas Mayores </t>
  </si>
  <si>
    <t xml:space="preserve">7.1.4.1.Realizar un diagnóstico, desde la perspectiva de género, de las necesidades e intereses de las personas adultas mayores que asisten a Centros Diurnos. </t>
  </si>
  <si>
    <t xml:space="preserve">7.1.4.2.Elaborar un plan estratégico conjunto Municipalidad y los  Centros Diurnos para la atención de las necesidades identificadas. </t>
  </si>
  <si>
    <t xml:space="preserve">7.1.4.3.Desarrollar plan de trabajo vinculado al plan estratégico </t>
  </si>
  <si>
    <t>7.1.5.Realizar Ferias de la Salud en las Comunidades.</t>
  </si>
  <si>
    <t>7.1.5.1.Promover ferias de la salud en las comunidades para facilitar el acceso a los servicios de atención médica a las comunidades en general y a las mujeres en particular.</t>
  </si>
  <si>
    <t>7.1.6.Capacitar a personas adolescentes del cantón sobre sexualidad integral.</t>
  </si>
  <si>
    <t>7.1.6.1.Desarrollar capacitaciones sobre sexualidad integral  con personas menores de edad y adolescentes  que asisten al sistema educativo formal.</t>
  </si>
  <si>
    <t>7.1.6.2.Desarrollar capacitaciones sobre sexualidad integral   con personas menores de edad y adolescentes  de las comunidades que no asisten al sistema educativo formal.</t>
  </si>
  <si>
    <t>7.2.Programa: Plan de Igualdad y Equidad de Genero</t>
  </si>
  <si>
    <t>7.2.1.Integrar criterios de igualdad y equidad en la gestión del recurso humano municipal.</t>
  </si>
  <si>
    <t>7.2.1.1.Integrar en los perfiles de las plazas vacantes, la formación en temas de género como un requisito deseable.</t>
  </si>
  <si>
    <t>7.2.1.2.Construir una herramienta para identificar prejuicios (homo-lesbofobia, machismo, sexismo, etc) en las personas oferentes que participan del proceso de entrevista y selección de personal en la Municipalidad de Heredia</t>
  </si>
  <si>
    <t xml:space="preserve">7.2.1.3.Promover la contratación de personal femenino en tareas consideradas “no tradicionales” como: vigilancia y policía municipal, estacionamiento autorizado, taller mecánico, etc en  los departamentos municipales que así lo requieran. </t>
  </si>
  <si>
    <t xml:space="preserve">7.2.1.4.Integrar criterios de igualdad y equidad de género en los manuales descriptivos de puestos y la escala salarial respectiva. </t>
  </si>
  <si>
    <t>7.2.1.5.Incorporar en el proceso de inducción del personal de primer ingreso, el uso del lenguaje inclusivo.</t>
  </si>
  <si>
    <t xml:space="preserve">7.2.2.Contar con una base de datos segregada por sexo en todos los departamentos de manera que se facilite la implementación de acciones diferenciadas dirigidas a personas con iniciativas empresariales. </t>
  </si>
  <si>
    <t>7.2.2.1.Mejorar las bases de datos existentes en todos los departamentos de la Municipalidad incorporando la variable sexo</t>
  </si>
  <si>
    <t>7.2.3.Promover nuevas identidades femeninas y masculinas para la construcción de una sociedad más justa y equitativa</t>
  </si>
  <si>
    <t xml:space="preserve">7.2.3.1.Desarrollar un programa de capacitación permanente dirigido al personal y autoridades municipales, en temas de igualdad y equidad, derechos humanos, masculinidades, feminidades respeto a la diversidad, entre otros.
</t>
  </si>
  <si>
    <t>7.2.3.2.Coordinar el desarrollo  de un programa de capacitación permanente dirigido asociaciones de desarrollo, grupos organizados, y fuerzas vivas de la comunidad, en temas de igualdad y equidad, derechos humanos, masculinidades, feminidades respeto a la diversidad, violencia contra las mujeres y las niñas entre otros.</t>
  </si>
  <si>
    <t>7.2.3.3.Coordinar el desarrollo de un programa de capacitación permanente dirigido autoridades del MEP y docentes de educación primaria y secundaria de instituciones públicas del Cantón, en temas de igualdad y equidad, derechos humanos, masculinidades, feminidades respeto a la diversidad, entre otros.</t>
  </si>
  <si>
    <t xml:space="preserve">7.2.3.4.Utilizar lenguaje inclusivo en todos los documentos oficiales, comunicados, campañas, sitio web y otros. </t>
  </si>
  <si>
    <t>7.3.3.5.Campaña Municipal dirigida  a la ciudanía  permanente para promover la igualdad y equidad de género en el Cantón</t>
  </si>
  <si>
    <t>7.2.3.6.Elaboración y desarrollo de un plan de trabajo que promueva juegos cooperativos dirigidos a toda la población.</t>
  </si>
  <si>
    <t xml:space="preserve">7.2.3.7.Promover la integración  de las mujeres  y otros grupos socialmente vulnerabilizados, en diversos deportes.  </t>
  </si>
  <si>
    <t>7.2.4.Desarrollar campañas para divulgar el reglamento interno contra el Hostigamiento Sexual y erradicar su prevalencia.</t>
  </si>
  <si>
    <t>7.2.4.1.Realizar un diagnóstico interno sobre clima organizacional con énfasis en hostigamiento sexual.</t>
  </si>
  <si>
    <t>7.2.5.Desarrollar un programa de capacitación permanente dirigido al personal municipal sobre el Hostigamiento sexual en el empleo y la normativa institucional vigente.</t>
  </si>
  <si>
    <t>7.2.6.1.Una campaña anual para la prevención del Hostigamiento  Sexual en el Empleo  y la Docencia y la divulgación de la legislación vigente.</t>
  </si>
  <si>
    <t>7.2.5.1.Realizar  talleres de capacitación para dar a conocer las manifestaciones del hostigamiento sexual así como  la normativa y el  procedimiento institucional para proteger los derechos de las personas afectadas por esta problemática</t>
  </si>
  <si>
    <t>7.2.7.Contar con un equipo interdisciplinario que contribuya a la atención de las víctimas de violencia intrafamiliar así como el desarrollo de instrumentos para atender la problemática.</t>
  </si>
  <si>
    <t>7.2.7.1.Contratar personal  o servicios especializados para la atención psicológica  individual y grupal de personas víctimas de violencia de género</t>
  </si>
  <si>
    <t xml:space="preserve">7.2.7.2.Coordinar los especializados para la asesoría legal de las personas víctimas de violencia de género. </t>
  </si>
  <si>
    <t xml:space="preserve">7.2.7.3.Elaborar un protocolo de intervención de la policía municipal en casos de violencia doméstica y de género. </t>
  </si>
  <si>
    <t>7.2.7.4.Capacitar de manera continua a la Policía Municipal sobre Violencia de Género</t>
  </si>
  <si>
    <t xml:space="preserve">7.2.8.Divulgar de manera permanente los derechos humanos de las mujeres contemplados en convenios internacionales y en el marco jurídico nacional.  </t>
  </si>
  <si>
    <t>7.2.8.1.Elaborar una estrategia de comunicación para la divulgación permanente de derechos humanos de las mujeres.</t>
  </si>
  <si>
    <t>7.2.8.2.Inicio de ejecución de estrategia propuesta</t>
  </si>
  <si>
    <t>7.2.9.Apoyar y fortalecer la coordinación interinstitucional de Prevención y atención de la Violencia Intrafamiliar</t>
  </si>
  <si>
    <t>7.2.9.1.Participar de las reuniones y actividades programadas por la Red de Atención y Prevención de la Violencia Intrafamiliar.</t>
  </si>
  <si>
    <t>7.2.10.Fortalecer la  organización comunitaria de mujeres mediante la capacitación permanente en temas de liderazgo, participación política y ciudadana desde un enfoque de género.</t>
  </si>
  <si>
    <t>7.2.10.1.Brindar una capacitación anual dirigida a lideresas comunales.</t>
  </si>
  <si>
    <t>7.2.10.2.Desarrollar un encuentro anual de líderes (as) del Cantón.</t>
  </si>
  <si>
    <t>7.2.12.Favorecer el acercamiento de los diversos grupos poblacionales del cantón con los servicios municipales</t>
  </si>
  <si>
    <t>7.2.12.1.Divulgar de manera permanente a las comunidades sobre los trámites que realiza la Municipalidad.</t>
  </si>
  <si>
    <t>7.3.1.Apoyar la gestión de Centros Diurnos de Atención Especializados para personas con Discapacidad de diferentes edades.</t>
  </si>
  <si>
    <t xml:space="preserve">7.3.1.1.Realizar un diagnóstico, desde la perspectiva de género, de las necesidades e intereses de las personas que asisten a Centros Diurnos para personas con Discapacidad. </t>
  </si>
  <si>
    <t>7.3. Programa : Política Municipal de Accesibilidad</t>
  </si>
  <si>
    <t xml:space="preserve">7.3.1.2.Elaborar un plan estratégico conjunto Municipalidad y Centro para la atención de las necesidades identificadas. </t>
  </si>
  <si>
    <t>7.3.1.3.Desarrollar plan de trabajo vinculado al plan estratégico elaborado.</t>
  </si>
  <si>
    <t>7.3.2.Diagnóstico  de las necesidades de las personas con discapacidad del cantón central de Heredia.</t>
  </si>
  <si>
    <t>7.3.2.1.Realizar el diagnóstico de las necesidades de las personas con discapacidad del cantón Central de Heredia</t>
  </si>
  <si>
    <t>7.3.3.Elaborar  y ejecutar un plan cantonal de promoción del desarrollo de las personas con discapacidad que involucre a los diversos sectores  públicos y privados según su competencia.</t>
  </si>
  <si>
    <t xml:space="preserve">7.3.3.1.Articular esfuerzos y competencias de instituciones gubernamentales y no gubernamentales  en la formulación de un plan de promoción del desarrollo de las personas con discapacidad del cantón central de Heredia. </t>
  </si>
  <si>
    <t xml:space="preserve">7.3.3.2.Puesta en ejecución del plan  de promoción del desarrollo de las personas con discapacidad del cantón central de Heredia. </t>
  </si>
  <si>
    <t>7.3.4.Desarrollar  una estrategia de  promoción del empleo para personas con discapacidad del cantón central de Heredia.</t>
  </si>
  <si>
    <t xml:space="preserve">7.3.4.1.Articular esfuerzos y competencias de instituciones gubernamentales y no gubernamentales del cantón central de Heredia, responsables de garantizar el empleo de personas con discapacidad. </t>
  </si>
  <si>
    <t>7.3.4.2.Estrategia y plan de promoción de empleo de las personas con discapacidad en ejecución.</t>
  </si>
  <si>
    <t xml:space="preserve">7.3.5. Análisis y verificación de la perspectiva de la accesibilidad en las normas internas que regulan el otorgamiento de toda clase de permisos y licencias que otorga la municipalidad para garantizar el cumplimiento de la ley 7600. </t>
  </si>
  <si>
    <t>7.3.5.1.Realizar la revisión de la perspectiva de la discapacidad y accesibilidad incorporada  en la normativa interna de la municipalidad, que regula el otorgamiento de toda clase de permisos y licencias tal y como lo establece la ley 7600 y su reglamento.</t>
  </si>
  <si>
    <t xml:space="preserve">7.3.6.Creación de una base de datos con recursos humanos e instituciones, en formatos accesibles para todas las personas. </t>
  </si>
  <si>
    <t>7.3.6.1.Información sobre servicios y recursos del cantón de Heredia disponible a todas las personas especialmente las que enfrentan discapacidad.</t>
  </si>
  <si>
    <t>7.3.7.Apoyar el desarrollo de servicios que brindan organizaciones no gubernamentales a personas con discapacidad en el cantón central de Heredia.</t>
  </si>
  <si>
    <t>7.3.7.1.Identificación de necesidades de recurso de las organizaciones del cantón central de Heredia que brindan servicios a personas con discapacidad.</t>
  </si>
  <si>
    <t xml:space="preserve">7.3.8. Fiscalizar y exigir el cumplimiento pleno de las disposiciones de la ley 7600 y su reglamento, en la revisión de planos, permisos de construcción, otorgamientos de patentes y cualquier otra autorización similar.  </t>
  </si>
  <si>
    <t xml:space="preserve">7.3.8.1.En la revisión del 100% de planos,  permisos de construcción, otorgamiento de patentes y otras autorizaciones similares,  se fiscalizará el cumplimiento de la ley 7600 y su reglamento. </t>
  </si>
  <si>
    <t xml:space="preserve">7.3.8.2.Se inspeccionará el total de establecimientos que brindan servicios al público, cuyas autorizaciones fueron otorgadas antes de diciembre de 2010,  a fin de determinar  el cumplimiento  o no de las especificaciones de la ley 7600 y su reglamento en materia de accesibilidad. </t>
  </si>
  <si>
    <t xml:space="preserve">7.3.8.3.Envío de una notificación a los propietarios de establecimientos que no cumplen con las especificaciones de accesibilidad de la ley 7600 y su reglamento, a fin de que efectúen en un tiempo prudencial  las adecuaciones pertinentes. </t>
  </si>
  <si>
    <t>7.3.8.4.Inspeccionar el cumplimiento de la ley 7600 y su reglamentos en los establecimientos notificados.</t>
  </si>
  <si>
    <t>7.4. Educación</t>
  </si>
  <si>
    <t>7.4.1.Fortalecimiento  de la educación herediana, por medio de la asignación de recursos.</t>
  </si>
  <si>
    <t>7.4.1.Asignar recursos a través de las Juntas de Educación y Administrativas que faciliten le desarrollo de la educación .</t>
  </si>
  <si>
    <t>7.3.7.2.Elaboración de un plan de apoyos a las ONG del cantón de Heredia, con la participación de entidades públicas representadas en el municipio,  tomando en cuenta sus competencias.</t>
  </si>
  <si>
    <t>7.2.11.Brindar herramientas para la inclusión de la perspectiva de género en la planificación del desarrollo urbano.</t>
  </si>
  <si>
    <t>7.2.11.1.Reuniones para facilitar asesoría técnica en planificación urbana con perspectiva de género</t>
  </si>
  <si>
    <t>6.1.3.Crear un Fondo “Rotatorio de Préstamos”  para el financiamiento de emprendimiento productivos</t>
  </si>
  <si>
    <t>6.1.3.1.Revisar el marco legal para la creación de un “Fondo Rotatorio de Préstamos para Mujeres Emprendedoras en condición de vulnerabilidad social”</t>
  </si>
  <si>
    <t>6.2. Programa de Presupuesto Participativo</t>
  </si>
  <si>
    <t>6.2.1.Presupuesto Participativo con perspectiva de género</t>
  </si>
  <si>
    <t>6.2.1.1.Coordinar cada año el proceso de Presupuesto Participativo</t>
  </si>
  <si>
    <t>6.2.2.Fortalecer las acciones implementadas en el Programa de Presupuestos Participativos</t>
  </si>
  <si>
    <t xml:space="preserve">6.2.2.1.Capacitación de las Asociaciones de Desarrollo y Concejos de Distrito en temas de elaboración de proyectos con perspectiva de género. </t>
  </si>
  <si>
    <t>2.1.5. Mejorar las condiciones del Mercado Municipal</t>
  </si>
  <si>
    <t>2.1.5.1.Contratación de un estudio integral de la restauración del Mercado(arquitectura e infraestructura) que incluya todos los permisos respectivos.</t>
  </si>
  <si>
    <t>2.1.5.3.Realizar 2 labores de mejora y mantenimiento al mercado por año</t>
  </si>
  <si>
    <t>2.1.6.1.Formular el Plan Quinquenal de Gestión Vial del Cantón de Heredia</t>
  </si>
  <si>
    <t>2.1.7. Mejorar las condiciones de infraestructura de los edificios e instalaciones municipales.</t>
  </si>
  <si>
    <t>2.1.7.1. Realizar mejoras a la infraestructura de los edificios e instalaciones municipales</t>
  </si>
  <si>
    <t>2.1.8.  Construcción de Terminal de Buses</t>
  </si>
  <si>
    <t>2.1.8.1.Realizar estudio de factibilidad  para la construcción de la terminal de buses</t>
  </si>
  <si>
    <t>2.1.8.2. Construcción de terminales de buses</t>
  </si>
  <si>
    <t>2.1.9. Terreno para  el Cementerio de Mercedes</t>
  </si>
  <si>
    <t>2.9.1. Realizar estudio de Factibilidad y compra de terreno para cementerio de Mercedes</t>
  </si>
  <si>
    <t>2.1.10. Diagnóstico del estado de las aceras en todo el cantón central de Heredia e implementación de  las gestiones pertinentes para hacerlas accesibles para todas las personas .</t>
  </si>
  <si>
    <t>2.1.10.1.Realizar el diagnóstico del estado de las aceras en todo el cantón Central de Heredia.</t>
  </si>
  <si>
    <t>2.1.10.2. Construcción de aceras en los sectores NE,NO,SE y SO del distrito central de Heredia, y los distritos de Mercedes, San Francisco, Ulloa y Vara Blanca.</t>
  </si>
  <si>
    <t>2.1.10.3.Realizar 600 notificaciones para construcción de aceras</t>
  </si>
  <si>
    <t>2.1.5.2. Restauración del  del edificio del Mercado, según los resultados del estudio integral.</t>
  </si>
  <si>
    <t>restauración concluida</t>
  </si>
  <si>
    <t>2.1.6. Plan quinquenal de gestión vial</t>
  </si>
  <si>
    <t>MOPT. Comisión de transportes</t>
  </si>
  <si>
    <t>Porcentaje de terminales construidas</t>
  </si>
  <si>
    <t>2.2. Programa de Parques y Áreas de Recreación</t>
  </si>
  <si>
    <t>2.2.1. Creación y mejoramiento de  espacios deportivos y recreativos accesibles</t>
  </si>
  <si>
    <t>2.2.1.1.Colaborar con el Comité Cantonal de Deportes la construcción y mejoramiento de áreas deportivas y recreativas</t>
  </si>
  <si>
    <t>2.2.2.1.Realizar estudio para identificar las zonas y espacios disponibles para ciclo vía</t>
  </si>
  <si>
    <t>2.2.2.2.Construcciòn  de áreas para patinadores</t>
  </si>
  <si>
    <t>Porcentaje de Metros construidos o reparados</t>
  </si>
  <si>
    <t>Porcentaje de  Rampas construidas</t>
  </si>
  <si>
    <t>Mayor Accesibilidad</t>
  </si>
  <si>
    <t>N° de Puentes Construidos</t>
  </si>
  <si>
    <t>Mejora el turismo, el comercio y el acceso a otras comunidades del cantón.</t>
  </si>
  <si>
    <t>Impulsar la gestión del manejo integral  de los residuos</t>
  </si>
  <si>
    <t>1.1.1.1. Realizar 5 talleres anuales para las comunidades sobre el manejo de residuos sólidos</t>
  </si>
  <si>
    <t>1.1.1.2.Realizar 11 charlas anuales en los Centros Educativos, sobre el manejo de residuos sólidos</t>
  </si>
  <si>
    <t>Encargado de Gestión Ambiental (Encargado de la nueva ley de Residuos Sólidos)</t>
  </si>
  <si>
    <t xml:space="preserve"> Depto. Gestión Ambiental Municipalidad, Ministerio de Salud .</t>
  </si>
  <si>
    <t xml:space="preserve">1.1.2.2.Elaboracion del plan  integral de residuos sólidos </t>
  </si>
  <si>
    <t>Porcentaje de  acciones realizadas</t>
  </si>
  <si>
    <t>1.4.3.2.Realizar la rotulación vertical de ordenamiento postal  del área urbana del cantón.</t>
  </si>
  <si>
    <t>3.2.1.1.Formular las herramientas para el desarrollo anual del Proceso de Autoevaluación del Sistema de Control Interno</t>
  </si>
  <si>
    <t>Análisis Gerencial del Funcionamiento del sistema de Control Interno.</t>
  </si>
  <si>
    <t>Desarrollar la Valoración de Riesgos Institucional de forma sistemática, estratégicamente programado para el debido cumplimiento de la normativa de control Interno y mejoramiento continuo de la gestión y planificación institucional.</t>
  </si>
  <si>
    <t>Funcionamiento Sistemático del SEVRI de la Municipalidad de Heredia.</t>
  </si>
  <si>
    <t>3.4.2.1..Analizar,  implementa y evaluación del proceso de asesoría y mejorarlo para la atención efectiva y oportuna según lo requerido por la institución.</t>
  </si>
  <si>
    <t>3.4.3.1.Presentar la propuesta para valorar la viabilidad de adquirir un sistema informático para la administración de la información de Control Interno</t>
  </si>
  <si>
    <t xml:space="preserve">3.6.1.1.Realizar el estudio de tiempos y movimientos. </t>
  </si>
  <si>
    <t xml:space="preserve">Alcaldía, Proveeduría, Presupuesto, Comunicación Direcciones, </t>
  </si>
  <si>
    <t>Politicas aprobadas y divulgadas.</t>
  </si>
  <si>
    <t>Alcaldía, Comunicación y prensa. 
INS</t>
  </si>
  <si>
    <t xml:space="preserve">Alcaldía, Dirección Administrativa Financiera, Concejo Municipal, Comunicación y prensa. 
</t>
  </si>
  <si>
    <t xml:space="preserve">Alcaldía, Dirección Administrativa Financiera, Dirección Jurídica, Concejo Municipal, Comunicación y prensa. 
</t>
  </si>
  <si>
    <t xml:space="preserve"> Promover una cultura de desarrollo humano municipal y personal  idóneo (actualizado).</t>
  </si>
  <si>
    <t>3.8.1.Plan de capacitación anual para todos los funcionarios municipales.</t>
  </si>
  <si>
    <t xml:space="preserve">Alcaldía,  Servicio Civil Comunicación y prensa. 
</t>
  </si>
  <si>
    <t>Alcaldía, Dirección Financiera Administrativa. Concejo Municipal, Comunicación  y Prensa</t>
  </si>
  <si>
    <t xml:space="preserve">3.8.1.3.Reglamento de Capacitación Municipal </t>
  </si>
  <si>
    <t>Depto. Cómputo</t>
  </si>
  <si>
    <t>3.10.1.1.Realizar diagnóstico para conocer la percepción de los ciudadanos con respecto a los servicios brindados por la Municipalidad.</t>
  </si>
  <si>
    <t>Agilizar el trámite de pago de servicios y proveedores por medio de trasferencias electrónicas.</t>
  </si>
  <si>
    <t>3.22.1.1.Gestionar la firma de un convenio específico entre la Municipalidad de Heredia y la E.S.P.H.</t>
  </si>
  <si>
    <t>Proveeduría, E.S.P.H.</t>
  </si>
  <si>
    <t>Se cuente con un convenio de cooperación</t>
  </si>
  <si>
    <t>Que se actualice la información de los contribuyentes del cantón, disminuya el pendiente de cobro ya que el contribuyente contara con la facilidad de recibir los recibos en su domicilio</t>
  </si>
  <si>
    <t>3.24.1.Favorecer los mecanismos de coordinación institucional.</t>
  </si>
  <si>
    <t>3.24.1.1.Realizar reuniones periódicas con la Comisión Mixta.</t>
  </si>
  <si>
    <t>4.1.1. Fortalecer la policía municipal,tomando en cuenta la equidad de género, acorde con el desarrollo del proyecto "Seguridad Herediana Digital" (incorporar más oficiales)</t>
  </si>
  <si>
    <t>5.1.1.4.Realizar el mantenimiento y jardinería en las áreas verdes</t>
  </si>
  <si>
    <t>2.1.5.4. Realizar las gestiones para la instalación de un cajero automático.</t>
  </si>
  <si>
    <t xml:space="preserve">Necesidades identificadas que permitan la formulación de un plan de desarrollo para atenderlas. </t>
  </si>
  <si>
    <t>3.2.2.1.Aplicar y analizar  el Modelo de Madurez a nivel Gerencial (Titulares de Alcaldía, Planificación y Direcciones)</t>
  </si>
  <si>
    <t>4.2.1.3. Realizar 18 presentaciones anuales  con la Unidad K-9 para prevenir la delincuencia juvenil y el consumo de drogas</t>
  </si>
  <si>
    <t>4.2.1.4. Realizar 9 operativos antidrogas mínimos  por año.</t>
  </si>
  <si>
    <t>La Municipalidad de Heredia se posiciona como el primer Gobierno Local que inaugura el “Mercado de Mujeres Emprendedoras”.</t>
  </si>
  <si>
    <t>Informe de estudio de factibilidad</t>
  </si>
  <si>
    <t>Alcaldía, UAEG, Programa de Intermediación laboral, Dirección Jurídica</t>
  </si>
  <si>
    <t>Fondos</t>
  </si>
  <si>
    <t>Alcaldía, Comisión de la Condición de la Mujer</t>
  </si>
  <si>
    <t>Empresa Privada (Cámara de Comercio), Instituciones del Estado</t>
  </si>
  <si>
    <t>Informe de Estudio de Mercado</t>
  </si>
  <si>
    <t>Programa de Intermediación Laboral, UAEG</t>
  </si>
  <si>
    <t>Documento de Programa con enfoque de género para la  Atención Integral de Personas Emprendedoras del Cantón</t>
  </si>
  <si>
    <t>Ministerio de Economía, Industria y Comercio (MEIC), Instituto Nacional de Aprendizaje (INA)</t>
  </si>
  <si>
    <t>La Municipalidad de Heredia cuenta con un programa permanente de apoyo a los emprendimientos del cantón que integra mecanismos para la identificación, capacitación y seguimiento de iniciativas productivas</t>
  </si>
  <si>
    <t>Integrar criterios de igualdad y equidad en la gestión del recurso humano municipal.</t>
  </si>
  <si>
    <t>Documento de perfil de las plazas integra el enfoque de género entre los requisitos a solicitar.</t>
  </si>
  <si>
    <t>Departamento de Recursos Humanos, UAEG</t>
  </si>
  <si>
    <t>El personal nuevo que se integre a la Corporación Municipal posee valores de igualdad, equidad, respeto a las diversidades (sexual, etaria, étnica, cultural, religiosa, política).</t>
  </si>
  <si>
    <t xml:space="preserve">Instrumento para identificar prejuicios en las personas que desean ser contratadas en la Municipalidad de Heredia. </t>
  </si>
  <si>
    <t xml:space="preserve">Acción de personal de funcionarias contratadas en plazas nuevas y vacantes.
Actividades de promoción realizadas.
</t>
  </si>
  <si>
    <t>La Municipalidad de Heredia impulsa acciones que favorecen la inserción laboral de las mujeres para que se alcance una participación paritaria en el desempeño de labores consideradas tradicionalmente como pertenecientes a un género determinado</t>
  </si>
  <si>
    <t>Manual descriptivo de puestos y escala salarial revisada</t>
  </si>
  <si>
    <t xml:space="preserve">La Municipalidad de Heredia tiene un trato equitativo hacia hombres y mujeres que laboran para la institución. </t>
  </si>
  <si>
    <t>Número de personas de primer ingreso que recibieron la inducción.</t>
  </si>
  <si>
    <t>Interna</t>
  </si>
  <si>
    <t>La Municipalidad de Heredia sensibiliza a todo su personal sobre la importancia del uso del lenguaje inclusivo.</t>
  </si>
  <si>
    <t xml:space="preserve">Contar con una base de datos segregada por sexo en todos los departamentos de manera que se facilite la implementación de acciones diferenciadas dirigidas a personas con iniciativas empresariales. </t>
  </si>
  <si>
    <t>Base de datos municipal segregada por sexo</t>
  </si>
  <si>
    <t>La Municipalidad de Heredia cuenta con bases de datos segregadas por sexo que le permiten implementar proyectos con enfoque de género que requieren de acciones diferenciadas para cerrar brechas entre hombres y mujeres.</t>
  </si>
  <si>
    <t>Realizar Ferias de la Salud en las Comunidades.</t>
  </si>
  <si>
    <t xml:space="preserve">Ferias de la salud realizadas </t>
  </si>
  <si>
    <t>UAEG y Unidad Administrativa responsable de Desarrollo Social, Unidad encargada de Comunicación Interna y Externa</t>
  </si>
  <si>
    <t>Caja Costarricense de Seguro Social, Empresas Privadas que brinden servicios de salud, INA</t>
  </si>
  <si>
    <t>La Municipalidad de Heredia articula esfuerzos interinstitucionales en conjunto con el sector salud y la empresa privada para acercar los servicios de salud a las comunidades.</t>
  </si>
  <si>
    <t>Capacitar a personas adolescentes del cantón sobre sexualidad integral.</t>
  </si>
  <si>
    <t>Informe de capacitaciones realizadas</t>
  </si>
  <si>
    <t>UAEG y Unidad Administrativa responsable de Desarrollo Social Unidad encargada de Comunicación Interna y Externa</t>
  </si>
  <si>
    <t>Ministerio de Educación, Colegios Públicos del Cantón, Asociaciones de Desarrollo. PANI</t>
  </si>
  <si>
    <t>La Municipalidad de Heredia lidera acciones de capacitación en el tema de sexualidad integral, dirigidos a personas adolescentes del Cantón.</t>
  </si>
  <si>
    <t xml:space="preserve">La Municipalidad de Heredia es una institución  que cuida el recurso humano y promueve la salud de su personal, por medio de servicio de medicina de empresa al menos dos días por semana. </t>
  </si>
  <si>
    <t>Promover nuevas identidades femeninas y masculinas para la construcción de una sociedad más justa y equitativa</t>
  </si>
  <si>
    <t>Informe anual de capacitaciones desarrolladas</t>
  </si>
  <si>
    <t>INAMU</t>
  </si>
  <si>
    <t xml:space="preserve">La Municipalidad de Heredia cuenta con un capital humano altamente capacitado en temas de género. </t>
  </si>
  <si>
    <t>UAEG, Unidad Administrativa responsable de Desarrollo Social,</t>
  </si>
  <si>
    <t>DINADECO, INAMU, UCA</t>
  </si>
  <si>
    <t>La Municipalidad de Heredia tiene un papel líder en la capacitación de fuerzas vivas de la comunidad en temas de igualdad y equidad, para la construcción de una sociedad más equitativa.</t>
  </si>
  <si>
    <t>Informe anual de implementación de capacitaciones</t>
  </si>
  <si>
    <t>Ministerio de Educación, INAMU</t>
  </si>
  <si>
    <t>La Municipalidad de Heredia ejerce un papel protagónico en la articulación de iniciativas locales que promueven una educación no sexista</t>
  </si>
  <si>
    <t>La Municipalidad de Heredia utiliza lenguaje inclusivo en todos sus documentos oficiales</t>
  </si>
  <si>
    <t>Informe de campaña realizada</t>
  </si>
  <si>
    <t>UAEG, Unidad de Comunicación y Coordinación con sector empresarial</t>
  </si>
  <si>
    <t>La Municipalidad de Heredia, lidera acciones para promover la igualdad y equidad entre hombres y mujeres a través de los distintos medios de comunicación disponibles</t>
  </si>
  <si>
    <t>Plan de Trabajo</t>
  </si>
  <si>
    <t xml:space="preserve">Comité Cantonal  y Distritales de Deportes
Comité Cantonal de la Persona Joven
Unidad Administrativa encargada del Desarrollo Social
UAEG
</t>
  </si>
  <si>
    <t xml:space="preserve">La Municipalidad de Heredia desarrolla programas deportivos enfocados a las mujeres </t>
  </si>
  <si>
    <t>POA del Comité Cantonal de Deportes</t>
  </si>
  <si>
    <t xml:space="preserve">Universidades Públicas y/o privadas con carreras relacionadas al deporte.
Asociación Guías y Scouts de Costa Rica.
</t>
  </si>
  <si>
    <t>Desarrollar campañas para divulgar el reglamento interno contra el Hostigamiento Sexual y erradicar su prevalencia.</t>
  </si>
  <si>
    <t>La Corporación Municipal garantiza un ambiente respetuoso para todas las personas trabajadoras en la institución.</t>
  </si>
  <si>
    <t>Desarrollar un programa de capacitación permanente dirigido al personal municipal sobre el Hostigamiento sexual en el empleo y la normativa institucional vigente.</t>
  </si>
  <si>
    <t>Campaña de prevención realizada</t>
  </si>
  <si>
    <t xml:space="preserve">UAEG, Departamento de Recursos Humanos, Intermediación Laboral, Unidad responsable de comunicación interna y externa, 
UAEG, Departamento de Recursos Humanos, Intermediación Laboral, Unidad responsable de comunicación interna y externa, 
</t>
  </si>
  <si>
    <t>La Municipalidad de Heredia garantiza un ambiente laboral libre de hostigamiento sexual.</t>
  </si>
  <si>
    <t>Coordinar acciones de divulgación permanentes dirigidas al sector empresarial y a la ciudadanía sobre la Ley contra el  Hostigamiento Sexual en el Empleo y la Docencia y sus Reformas.</t>
  </si>
  <si>
    <t>Campaña realizada</t>
  </si>
  <si>
    <t>Cámaras del Sector privado, INAMU, Ministerio de Trabajo</t>
  </si>
  <si>
    <t>La Municipalidad de Heredia promueve espacios libres de Hostigamiento Sexual en todo el cantón</t>
  </si>
  <si>
    <t>Contar con un equipo interdisciplinario que contribuya a la atención de las víctimas de violencia intrafamiliar así como el desarrollo de instrumentos para atender la problemática.</t>
  </si>
  <si>
    <t>Profesional en psicología contratado para la atención especializada en violencia de género.</t>
  </si>
  <si>
    <t>UAEG, Departamento de Recursos Humanos, Policía Municipal.</t>
  </si>
  <si>
    <t>Red de Atención y Prevención de la Violencia (Casas de Justicia, Consultorios Jurídicos de las Universidades),</t>
  </si>
  <si>
    <t xml:space="preserve">La Municipalidad de Heredia articula esfuerzos interinstitucionales para la atención integral de la violencia y lidera la atención especializada de víctimas de violencia intrafamiliar por medio de grupos, redes de mujeres y un trabajo preventivo permanente en las comunidades heredianas.
</t>
  </si>
  <si>
    <t xml:space="preserve">Porcentaje de  casos de personas afectadas por VIF que reciben asesoría legal. </t>
  </si>
  <si>
    <t>Documento de Protocolo de intervención policial</t>
  </si>
  <si>
    <t>INAMU, Fuerza Pública</t>
  </si>
  <si>
    <t xml:space="preserve">La Policía municipal de Heredia cuenta con   las herramientas adecuadas para la atención de víctimas de violencia intrafamiliar, de género y sexual que le permite evitar la revictimización de las personas ofendidas. </t>
  </si>
  <si>
    <t>Capacitaciones realizadas</t>
  </si>
  <si>
    <t>Proteger los derechos humanos de los niños y las niñas frente al abuso sexual</t>
  </si>
  <si>
    <t>Una campaña anual</t>
  </si>
  <si>
    <t>UAEG, Unidad encargada de Comunicación interna y externa, Policía Municipal</t>
  </si>
  <si>
    <t>Red de Atención y Prevención de la Violencia, Coordinación con autoridades MEP, INAMU</t>
  </si>
  <si>
    <t>La Municipalidad de Heredia articula esfuerzos interinstitucionales para la prevención del abuso sexual a personas menores de edad.</t>
  </si>
  <si>
    <t>Informe de evaluación de campaña.</t>
  </si>
  <si>
    <t>Material de campaña reeditado</t>
  </si>
  <si>
    <t xml:space="preserve">Divulgar de manera permanente los derechos humanos de las mujeres contemplados en convenios internacionales y en el marco jurídico nacional.  </t>
  </si>
  <si>
    <t xml:space="preserve">Documento de Estrategia de comunicación </t>
  </si>
  <si>
    <t>Informe de ejecución sobre la estrategia</t>
  </si>
  <si>
    <t>Apoyar y fortalecer la coordinación interinstitucional de Prevención y atención de la Violencia Intrafamiliar</t>
  </si>
  <si>
    <t>Actas de la Red de Atención y Prevención de la VIF</t>
  </si>
  <si>
    <t>UAEG, Unidad encargada de Comunicación interna y externa,</t>
  </si>
  <si>
    <t>Sector privado, universidades, Red VIF</t>
  </si>
  <si>
    <t>La Comunidad Herediana  informada y sensibilizada sobre los derechos humanos de las mujeres y la importancia del reconocimiento y respeto de éstos en la construcción de una sociedad más justa y equitativa.</t>
  </si>
  <si>
    <t>Red de Atención y Prevención de la Violencia Intrafamiliar</t>
  </si>
  <si>
    <t xml:space="preserve">La Municipalidad de Heredia respalda la gestión de la Red  Local de Atención y Prevención de la violencia.
Red Local posicionada y reconocida en el Cantón, contribuyendo a la transformación de la relaciones de género sin ningún tipo de violencia.
</t>
  </si>
  <si>
    <t>Fortalecer la  organización comunitaria de mujeres mediante la capacitación permanente en temas de liderazgo, participación política y ciudadana desde un enfoque de género.</t>
  </si>
  <si>
    <t>Lista de participantes y memoria del capacitación</t>
  </si>
  <si>
    <t>UAEG, CCMM, UNA (IEM), DINADECO, INAMU</t>
  </si>
  <si>
    <t>Lista de participantes y memoria del encuentro</t>
  </si>
  <si>
    <t>UAEG, CMCM, IFAM</t>
  </si>
  <si>
    <t>Porcentaje de reuniones realizadas</t>
  </si>
  <si>
    <t>Comisión Mixta, Alcaldía</t>
  </si>
  <si>
    <t>Se cuentan con mecanismos e instancias claras de coordinación institucional para la inclusión de la perspectiva de género en la gestión municipal.</t>
  </si>
  <si>
    <t>Contribuir a la inclusión de la perspectiva de la gestión municipal.</t>
  </si>
  <si>
    <t xml:space="preserve">Desarrollar un proceso de evaluación del cumplimiento e impacto de las acciones propuestas en la política de igualdad y equidad. </t>
  </si>
  <si>
    <t>Valorar el avance en implementación de la política con el fin de establecer mejoras de ser necesario.</t>
  </si>
  <si>
    <t xml:space="preserve">Informe  de evaluación </t>
  </si>
  <si>
    <t>Alcaldía,  UAEG, Comisión Mixta</t>
  </si>
  <si>
    <t xml:space="preserve">Interno </t>
  </si>
  <si>
    <t>La política institucional cuenta con una  cultura de evaluación de acciones desarrolladas con el fin de mejorar la gestión de la misma.</t>
  </si>
  <si>
    <t>Informe de evaluación final</t>
  </si>
  <si>
    <t>Fomentar la participación de la comunidad en la asignación de recursos</t>
  </si>
  <si>
    <t>Proceso coordinado</t>
  </si>
  <si>
    <t xml:space="preserve">Planificación, Alcaldía </t>
  </si>
  <si>
    <t>Concejo Municipal, Concejos de Distrito, Organizaciones Comunales</t>
  </si>
  <si>
    <t>Mayor participación de la comunidad en la toma de decisiones del Gobierno Local.</t>
  </si>
  <si>
    <t>Porcentaje de capacitaciones realizadas</t>
  </si>
  <si>
    <t>UAEG, Unidad de Planificación Institucional</t>
  </si>
  <si>
    <t>Se cuentan con procesos de presupuestos participativos desde la equidad de género, contribuyendo a disminuir las brechas de género.</t>
  </si>
  <si>
    <t>Brindar herramientas para la inclusión de la perspectiva de género en la planificación del desarrollo urbano.</t>
  </si>
  <si>
    <t>Actas de reuniones, listas de participantes</t>
  </si>
  <si>
    <t>UAEG, Dirección Operativa, Unidad encargada de Plan Regulador</t>
  </si>
  <si>
    <t>Se cuenta con espacios planificados desde criterios de accesibilidad y equidad, que favorecen el encuentro de las personas y el desarrollo de comunidad.</t>
  </si>
  <si>
    <t xml:space="preserve">Listas de participación, informes de capacitación. </t>
  </si>
  <si>
    <t>La población en su conjunto se siente a gusto realizando trámites en la municipalidad.</t>
  </si>
  <si>
    <t>El Cantón Central de Heredia cuenta con un fondo “rotatorio” de préstamos para el financiamiento de micro emprendimientos de mujeres y personas en condiciones de desventaja social.</t>
  </si>
  <si>
    <t>La Municipalidad cuenta con un estudio sobre los principales nichos de mercado hacia dónde pueda orientar los micro emprendimientos de mujeres y personas en condiciones de desventaja social.</t>
  </si>
  <si>
    <t>Crear un mercado local de mujeres emprendedoras</t>
  </si>
  <si>
    <t>1.3.1.</t>
  </si>
  <si>
    <t>Crear un Fondo Rotatorio de Préstamos para el financiamiento de emprendimiento productivos</t>
  </si>
  <si>
    <t>1.1.2.</t>
  </si>
  <si>
    <t>Presupuesto Participativo con Perspectiva de Género</t>
  </si>
  <si>
    <t>Fortalecer las acciones implementadas en el Programa de Presupuesto Participativo</t>
  </si>
  <si>
    <t>1.3.2.</t>
  </si>
  <si>
    <t>Promover la actividad turística, ecológica, artesanal y cultural</t>
  </si>
  <si>
    <t>.</t>
  </si>
  <si>
    <t>Base de datos construida</t>
  </si>
  <si>
    <t>Líderes y lideresas comunales desarrollando un liderazgo no tradicional, desde criterios de solidaridad, equidad y respeto a la diversidad.</t>
  </si>
  <si>
    <t>Mecanismos implementados para la comunicación.</t>
  </si>
  <si>
    <t xml:space="preserve">
Estrategia de comunicación de la Municipalidad de Heredia que integra el lenguaje inclusivo.
</t>
  </si>
  <si>
    <t>2.1.1.</t>
  </si>
  <si>
    <t>2.2.1.</t>
  </si>
  <si>
    <t>2.2.2.</t>
  </si>
  <si>
    <t>Favorecer el acercamiento de los diversos grupos poblacionales del cantón con los servicios municipales.</t>
  </si>
  <si>
    <t>Establecer un enlace entre el Municipio y la E.S.P.H., para que en forma simultanea se distribuyan los recibos de los servicios públicos y los tributos municipales</t>
  </si>
  <si>
    <t>Brindar mejores condiciones para la atención de la salud del personal municipal.</t>
  </si>
  <si>
    <t>Digitalización e identificación de derechos</t>
  </si>
  <si>
    <t>5.1.1.</t>
  </si>
  <si>
    <t>5.2.1.</t>
  </si>
  <si>
    <t>Asegurar y promover el pleno ejercicio  de todos los derechos humanos y libertades fundamentales de las personas con discapacidad en el cantón central de Heredia.</t>
  </si>
  <si>
    <t>Plan elaborado</t>
  </si>
  <si>
    <t>Plan ejecutado</t>
  </si>
  <si>
    <t>Estrategia y plan elaborados</t>
  </si>
  <si>
    <t>Estrategia y plan  ejecutado.</t>
  </si>
  <si>
    <t xml:space="preserve">Normativa revisada y ajustada a los lineamientos de la ley 7600 y su reglamento. </t>
  </si>
  <si>
    <t xml:space="preserve">Base de datos accesible disponible en diversos formatos: página web, digital, auditivo, otros. </t>
  </si>
  <si>
    <t>Necesidades de recursos identificadas.</t>
  </si>
  <si>
    <t>Plan de apoyos elaborado.</t>
  </si>
  <si>
    <t>Plan de apoyos ejecutado.</t>
  </si>
  <si>
    <t>Fiscalización efectuada en las solicitudes de cualquier tipo de autorizaciones.</t>
  </si>
  <si>
    <t>Notificaciones enviadas.</t>
  </si>
  <si>
    <t>Inspecciones realizadas.</t>
  </si>
  <si>
    <t>Diagnóstico  de las necesidades de las personas con discapacidad del cantón central de Heredia.</t>
  </si>
  <si>
    <t>Desarrollar  una estrategia de  promoción del empleo para personas con discapacidad del cantón central de Heredia.</t>
  </si>
  <si>
    <t>Elaborar  y ejecutar un plan cantonal de promoción del desarrollo de las personas con discapacidad que involucre a los diversos sectores  públicos y privados según su competencia.</t>
  </si>
  <si>
    <t>Creación de una base de datos con recursos humanos e instituciones, en formatos accesibles para todas las personas.</t>
  </si>
  <si>
    <t>Apoyar el desarrollo de servicios que brindan organizaciones no gubernamentales a personas con discapacidad en el cantón central de Heredia.</t>
  </si>
  <si>
    <t xml:space="preserve">Fiscalizar y exigir el cumplimiento pleno de las disposiciones de la ley 7600 y su reglamento, en la revisión de planos, permisos de construcción, otorgamientos de patentes y cualquier otra autorización similar.  </t>
  </si>
  <si>
    <t>PESO META</t>
  </si>
  <si>
    <t>Porcentaje de  parques donde se realizó la sustitución</t>
  </si>
  <si>
    <t>Porcentaje de  km reforestados</t>
  </si>
  <si>
    <t>Porcentaje de  km limpios</t>
  </si>
  <si>
    <t>Porcentaje de operativos realizados</t>
  </si>
  <si>
    <t>Porcentaje de presentaciones realizadas</t>
  </si>
  <si>
    <t>Porcentaje de  reuniones realizadas</t>
  </si>
  <si>
    <t>Porcentaje de coordinación realizada</t>
  </si>
  <si>
    <t>Porcentaje de la Propuesta presentada</t>
  </si>
  <si>
    <t>Porcentaje de plazas creadas</t>
  </si>
  <si>
    <t>Porcentaje  Talleres realizados</t>
  </si>
  <si>
    <t>Porcentaje de  Charlas realizadas</t>
  </si>
  <si>
    <t>Porcentaje de  charlas realizadas</t>
  </si>
  <si>
    <t>Porcentaje de demarcaciones  realizadas</t>
  </si>
  <si>
    <t>Porcentaje de recorridos realizados</t>
  </si>
  <si>
    <t>Porcentaje de Km recarpeteados</t>
  </si>
  <si>
    <t>Porcentaje de Toneladas  colocadas para bacheo</t>
  </si>
  <si>
    <t>Actividades realizadas</t>
  </si>
  <si>
    <t>Porcentaje de parques limpios</t>
  </si>
  <si>
    <t>5.1.1. Organizar la limpieza de caños, cunetas , alcantarillados,parques y recolección basura.</t>
  </si>
  <si>
    <t>Organizar la limpieza de caños, cunetas , alcantarillados, parques y recolección basura</t>
  </si>
  <si>
    <t>Porcentaje de actividad realizada</t>
  </si>
  <si>
    <t>2.1.2.</t>
  </si>
  <si>
    <t>2.1.3.</t>
  </si>
  <si>
    <t>2.1.4.</t>
  </si>
  <si>
    <t>2.1.5.</t>
  </si>
  <si>
    <t>2.1.6.</t>
  </si>
  <si>
    <t xml:space="preserve"> Instalación de cámaras de seguridad, acode al desarrollo del proyecto de "Seguridad Herediana Digital".</t>
  </si>
  <si>
    <t>Construcción realizada</t>
  </si>
  <si>
    <t xml:space="preserve">Implementar un programa de salud ocupacional </t>
  </si>
  <si>
    <t>Herramientas digitales para el desarrollo sistemático de las Autoevaluaciones Anuales del Sistema de Control Interno.</t>
  </si>
  <si>
    <t>Herramientas digitales para el desarrollo sistemático de la Valoración de Riesgos Institucional</t>
  </si>
  <si>
    <t>7.2.2.</t>
  </si>
  <si>
    <t xml:space="preserve"> Creación zonas para ciclistas y patinadores.</t>
  </si>
  <si>
    <t>MOPT, UNIVERSIDADES</t>
  </si>
  <si>
    <t>Se determine el estado de las aceras: cuáles deben reconstruirse, cuáles deben construirse,  costo monetario si lo asume el propietario, costo monetario  para el propietario si lo asume la municipalidad.</t>
  </si>
  <si>
    <t>Paso peatonal por todas las aceras del cantón de manera segura y accesible.</t>
  </si>
  <si>
    <t>MEP, MINISTERIO DE SALUD, CCSS,  PANI, ONG´S DE PERSONAS CON DISCAPACIDAD, ASOCIACIONES DE DESARROLLO Y OTRAS ORGANIZACIONES DE LA SOCIEDAD CIVIL, BANCO NACIONAL DE COSTA RICA,  BANCO POPULAR, UNIVERSIDADES, CENTROS COMERCIALES.</t>
  </si>
  <si>
    <t xml:space="preserve">MEP, MINISTERIO DE SALUD, CCSS,  PANI, ONG´S DE PERSONAS CON DISCAPACIDAD, ASOCIACIONES DE DESARROLLO Y OTRAS ORGANIZACIONES DE LA SOCIEDAD, CIVIL, BANCO NACIONAL DE COSTA RICA,  BANCO POPULAR, UNIVERSIDADES, CENTROS COMERCIALES, MOPT, CNREE. </t>
  </si>
  <si>
    <t>MTSS, INA, MEP, CAMARAS EMPRESARIALES, CNREE</t>
  </si>
  <si>
    <t>Oferta y demanda de empleo de personas con discapacidad atendida de manera ágil.</t>
  </si>
  <si>
    <t>CNREE</t>
  </si>
  <si>
    <t>MINISTERIO DE SALUD, INVU, COLEGIO DE INGENIEROS Y ARQUITECTOS, CNREE</t>
  </si>
  <si>
    <t>MEP, MINISTERIO DE SALUD, CCSS,  PANI, ONG´S DE PERSONAS CON DISCAPACIDAD, ASOCIACIONES DE DESARROLLO Y OTRAS ORGANIZACIONES DE LA SOCIEDAD, CIVIL, BANCO NACIONAL DE COSTA RICA,  BANCO POPULAR, UNIVERSIDADES, CENTROS COMERCIALES, MOPT, UNA, CNREE.</t>
  </si>
  <si>
    <t xml:space="preserve">ONG´S QUE ATIEENDEN  PERSONAS CON DISCAPACIDAD, CONCEJOS DE DISTRITOS, ASOCIACIONES DE DESARROLLO, </t>
  </si>
  <si>
    <t xml:space="preserve">ONG´S QUE ATIENDEN  PERSONAS CON DISCAPACIDAD, CONCEJOS DE DISTRITOS, ASOCIACIONES DE DESARROLLO, </t>
  </si>
  <si>
    <t>MINISTERIO DE SALUD, INVU, COLEGIO DE INGENIEROS Y ARQUITECTOS.</t>
  </si>
  <si>
    <t xml:space="preserve">Cumplimiento de la ley 7600 y otras normas. </t>
  </si>
  <si>
    <t>Apoyar el desarrollo de organizaciones  en la atención de personas con discapacidad del cantón de Heredia</t>
  </si>
  <si>
    <t>Alcaldía, Policía Municipal,Empresa Mixta</t>
  </si>
  <si>
    <t>Mejorar las condiciones de seguridad ciudadana en el cantón.</t>
  </si>
  <si>
    <t>Seguridad Herediana digital.</t>
  </si>
  <si>
    <t>Porcentaje de mejoras realizadas</t>
  </si>
  <si>
    <t>Brindar condiciones adecuadas a los funcionarios municipales para el mejor desempeño de sus funciones</t>
  </si>
  <si>
    <t>Mejorar las condiciones de infraestructura de los edificios e instalaciones municipales.</t>
  </si>
  <si>
    <t>Alcaldía Municipal</t>
  </si>
  <si>
    <t>Comisión de Accesibilidad, Dirección Operaciones</t>
  </si>
  <si>
    <t>Comisión Accesibilidad, Oficina de la Mujer</t>
  </si>
  <si>
    <t>Dpto. de Ingeniería y Depto. Rentas y Cobranzas</t>
  </si>
  <si>
    <t>Porcentaje de aceras construidas</t>
  </si>
  <si>
    <t xml:space="preserve">Responsabilidades y competencias gubernamentales y no gubernamentales  definidas y comprometidas. </t>
  </si>
  <si>
    <t xml:space="preserve">Atención de necesidades según las competencias de diferentes sectores institucionales y comunitarios, con enfoque de calidad y derechos humanos. </t>
  </si>
  <si>
    <t>Comisión Accesibilidad, Recursos Humanos</t>
  </si>
  <si>
    <t>Perspectiva de la discapacidad y la accesibilidad en la normativa municipal, que le facilite a la municipalidad  cumplir y verificar el cumplimiento de la ley 7600 de conformidad con lo que establece la ley 7600.</t>
  </si>
  <si>
    <t>Que diferentes sectores de la comunidad, principalmente las personas con discapacidad, dispongan de información accesible sobre servicios y recursos disponible para atender  sus necesidades, de conformidad con lo que establece la ley 7600</t>
  </si>
  <si>
    <t>Incorporar necesidades de apoyo en presupuestos y planificación municipal</t>
  </si>
  <si>
    <t>Inspecciones efectuadas y documentadas.</t>
  </si>
  <si>
    <t>Dotar de recursos que contribuyan a mejorar la infraestructura y las herramientas con que cuentas las instituciones  con el fin de facilitar el desarrollo de la educación  de la ciudadanía herediana.</t>
  </si>
  <si>
    <t>Rotulación Accesible para los Cementerios del Cantón</t>
  </si>
  <si>
    <t>Contar con Plan quinquenal de gestión vial</t>
  </si>
  <si>
    <t xml:space="preserve"> Creación y mejoramiento de  espacios deportivos y recreativos accesibles</t>
  </si>
  <si>
    <t>TABLA DE SEGUIMIENTO Y EVALUACIÓN</t>
  </si>
  <si>
    <t>ÁREA ESTRATÉGICA</t>
  </si>
  <si>
    <t>PORCENTAJE DE  EJECUCIÓN PROYECTOS POR ÁREA ESTRATÉGICA</t>
  </si>
  <si>
    <t>PORCENTAJE EJECUCIÓN POR AÑO</t>
  </si>
  <si>
    <t>ÁREA ESTRATÉGICA: DESARROLLO ECONÓMICO SOSTENIBLE</t>
  </si>
  <si>
    <t>PORCENTAJE  DE EJECUCIÓN PROYECTOS</t>
  </si>
  <si>
    <t>Fortalecer el desarrollo económico local por medio del impulso de micro emprendimiento realizados por mujeres y personas en condiciones de mayor vulnerabilidad.</t>
  </si>
  <si>
    <t>ÁREA ESTRATÉGICA: DESARROLLO SOCIAL</t>
  </si>
  <si>
    <t>Fortalecer la policía municipal, tomando en cuenta la equidad de género, acorde con el desarrollo del proyecto "Seguridad Herediana Digital" (incorporar más oficiales)</t>
  </si>
  <si>
    <t>Sustitución de las especies forestales  que se ubican en los parques heredianos, con el fin sustituirlas con las especies adecuadas a la zona de vida</t>
  </si>
  <si>
    <t>ÁREA ESTRATÉGICA: SERVICIOS PÚBLICOS</t>
  </si>
  <si>
    <t>ÁREA ESTRATÉGICA: GESTIÓN AMBIENTAL Y ORDENAMIENTO TERRITORIAL</t>
  </si>
  <si>
    <t>ÁREA ESTRATÉGICA: DESARROLLO Y GESTIÓN INSTITUCIONAL</t>
  </si>
  <si>
    <t>Digitalización de los expedientes de la Dirección Jurídica.</t>
  </si>
  <si>
    <t>Análisis gerencial del Funcionamiento del Sistema Específico de Valoración de Riesgos Institucional</t>
  </si>
  <si>
    <t>Plan de capacitación anual para todos los funcionarios municipales.</t>
  </si>
  <si>
    <t>Favorecer los mecanismos de coordinación institucional.</t>
  </si>
  <si>
    <t>Comisión Accesibilidad, Oficina de la Mujer, Contralorías Servicios</t>
  </si>
  <si>
    <t>Comisión Accesibilidad, Dirección Jurídica, Control Interno</t>
  </si>
  <si>
    <t xml:space="preserve">ÁREA ESTRATÉGICA: SEGURIDAD CIUDADANA </t>
  </si>
  <si>
    <t>MOPT, Comisión Tránsito</t>
  </si>
  <si>
    <t>Mejorar el tránsito vehicular</t>
  </si>
  <si>
    <t>Favorecer el ordenamiento territorial del Cantón Central de Heredia mediante la elaboración y aplicación del Plan Regulador, la supervisión del cumplimiento de la Ley de Estacionamiento Autorizado y un adecuado ordenamiento vial.</t>
  </si>
  <si>
    <t>Elabora el Plan Regulador de Vara Blanca</t>
  </si>
  <si>
    <t>Ampliar y mantener la rotulación vial y rotulación vertical de ordenamiento postal</t>
  </si>
  <si>
    <t>Ordenamiento Vial</t>
  </si>
  <si>
    <t>Alcaldía, Dirección Jurídica</t>
  </si>
  <si>
    <t>Ordenar el transporte público del cantón.</t>
  </si>
  <si>
    <t>Alcaldía, Dirección Operaciones, Dirección de Servicios y Gestión Ingresos.</t>
  </si>
  <si>
    <t>Construcción Terminal de Buses</t>
  </si>
  <si>
    <t>GESTIÓN AMBIENTAL Y ORDENAMIENTO TERRITORIAL (1)</t>
  </si>
  <si>
    <t>DESARROLLO Y GESTIÓN INSTITUCIONAL(3)</t>
  </si>
  <si>
    <t>SEGURIDAD CIUDADANA(4)</t>
  </si>
  <si>
    <t>SERVICIOS PÚBLICOS(5)</t>
  </si>
  <si>
    <t>DESARROLLO ECONÓMICO SOSTENIBLE (6)</t>
  </si>
  <si>
    <t>DESARROLLO SOCIAL(7)</t>
  </si>
  <si>
    <t>EDUCACIÓN(8)</t>
  </si>
  <si>
    <t>Fortalecimiento  de la educación herediana, por medio de la asignación de recursos.</t>
  </si>
  <si>
    <t>INVERSION PUBLICA(2)</t>
  </si>
  <si>
    <t>4.2.1.</t>
  </si>
  <si>
    <t>6.1.3.</t>
  </si>
  <si>
    <t>6.1.4.</t>
  </si>
  <si>
    <t>6.2.2.</t>
  </si>
  <si>
    <t>ÁREA ESTRATÉGICA: INVERSION PUBLICA</t>
  </si>
  <si>
    <t>7.3.1.</t>
  </si>
  <si>
    <t>7.3.2.</t>
  </si>
  <si>
    <t>7.4.1.</t>
  </si>
  <si>
    <t>7.18. Pago de servicios y proveedores.</t>
  </si>
  <si>
    <t>Construcción, mejoramiento y mantenimiento del alcantarillado pluvial y cordón y caño</t>
  </si>
  <si>
    <t>Ofrecer mejores condiciones para prestar el servicio de cementerio</t>
  </si>
  <si>
    <t>Terreno para  el Cementerio de Mercedes</t>
  </si>
  <si>
    <t>Diagnóstico del estado de las aceras en todo el cantón central de Heredia e implementación de  las gestiones pertinentes para hacerlas accesibles para todas las personas .</t>
  </si>
  <si>
    <t>Comisión de Turismo</t>
  </si>
  <si>
    <t>1.3.3.</t>
  </si>
  <si>
    <t>1.3.4.</t>
  </si>
  <si>
    <t>1.4.1.</t>
  </si>
  <si>
    <t>1.4.2.</t>
  </si>
  <si>
    <t>1.4.3.</t>
  </si>
  <si>
    <t>1.4.4.</t>
  </si>
  <si>
    <t>1.4.5.</t>
  </si>
  <si>
    <t>2.1.7.</t>
  </si>
  <si>
    <t>2.1.8.</t>
  </si>
  <si>
    <t>2.1.9.</t>
  </si>
  <si>
    <t>2.1.10.</t>
  </si>
  <si>
    <t>3.2.2.</t>
  </si>
  <si>
    <t>3.3.1.</t>
  </si>
  <si>
    <t>3.3.2.</t>
  </si>
  <si>
    <t>3.4.1.</t>
  </si>
  <si>
    <t>3.4.2.</t>
  </si>
  <si>
    <t>3.4.3.</t>
  </si>
  <si>
    <t>3.5.1.</t>
  </si>
  <si>
    <t>3.6.1.</t>
  </si>
  <si>
    <t>3.7.1.</t>
  </si>
  <si>
    <t>3.8.1.</t>
  </si>
  <si>
    <t>3.9.1.</t>
  </si>
  <si>
    <t>3.10.1.</t>
  </si>
  <si>
    <t>3.11.1.</t>
  </si>
  <si>
    <t>3.11.2.</t>
  </si>
  <si>
    <t>3.11.3.</t>
  </si>
  <si>
    <t>3.12.1.</t>
  </si>
  <si>
    <t>3.12.2.</t>
  </si>
  <si>
    <t>3.13.1.</t>
  </si>
  <si>
    <t>3.14.1.</t>
  </si>
  <si>
    <t>3.15.1.</t>
  </si>
  <si>
    <t>3.16.1.</t>
  </si>
  <si>
    <t>3.17.1.</t>
  </si>
  <si>
    <t>3.18.1.</t>
  </si>
  <si>
    <t>3.19.1.</t>
  </si>
  <si>
    <t>3.20.1.</t>
  </si>
  <si>
    <t>3.21.1.</t>
  </si>
  <si>
    <t>3.22.1.</t>
  </si>
  <si>
    <t>3.23.1.</t>
  </si>
  <si>
    <t>3.24.1.</t>
  </si>
  <si>
    <t>3.24.2.</t>
  </si>
  <si>
    <t>4.1.2.</t>
  </si>
  <si>
    <t>4.1.3.</t>
  </si>
  <si>
    <t>4.1.4.</t>
  </si>
  <si>
    <t>4.1.5.</t>
  </si>
  <si>
    <t>4.1.6.</t>
  </si>
  <si>
    <t>5.2.2.</t>
  </si>
  <si>
    <t>6.3.1.</t>
  </si>
  <si>
    <t>6.3.2.</t>
  </si>
  <si>
    <t>7.1.2.</t>
  </si>
  <si>
    <t>7.1.3.</t>
  </si>
  <si>
    <t>7.1.4.</t>
  </si>
  <si>
    <t>7.1.5.</t>
  </si>
  <si>
    <t>7.1.6.</t>
  </si>
  <si>
    <t>7.2.3.</t>
  </si>
  <si>
    <t>7.2.4.</t>
  </si>
  <si>
    <t>7.2.5.</t>
  </si>
  <si>
    <t>7.2.6.</t>
  </si>
  <si>
    <t>7.2.7.</t>
  </si>
  <si>
    <t>7.2.8.</t>
  </si>
  <si>
    <t>7.2.9.</t>
  </si>
  <si>
    <t>7.2.10.</t>
  </si>
  <si>
    <t>7.2.11.</t>
  </si>
  <si>
    <t>7.2.12.</t>
  </si>
  <si>
    <t>7.3.3.</t>
  </si>
  <si>
    <t>7.3.4.</t>
  </si>
  <si>
    <t>7.3.5.</t>
  </si>
  <si>
    <t>7.3.6.</t>
  </si>
  <si>
    <t>7.3.7.</t>
  </si>
  <si>
    <t>7.3.8.</t>
  </si>
  <si>
    <t>1.1. Programa de Residuos Sólidos</t>
  </si>
  <si>
    <t>1.1.1. Impulsar programas de reciclaje en el Cantón de Heredia.</t>
  </si>
  <si>
    <t>1.1.2.Crear Centros de acopio Cantonal</t>
  </si>
  <si>
    <t xml:space="preserve">1.1.2.1. Conclusión del   Diagnostico </t>
  </si>
  <si>
    <t>1.1.2.5.Implementación proyecto</t>
  </si>
  <si>
    <t>1.2. Programa de gestión ambiental</t>
  </si>
  <si>
    <t>1.2.1. Campañas de capacitación y concientización en materia ambiental.</t>
  </si>
  <si>
    <t>1.2.1.1.Realizar  5 charlas anuales  sobre el temas de reciclaje y recurso hídrico</t>
  </si>
  <si>
    <t>1.3. Programa de Seguridad Ambiental</t>
  </si>
  <si>
    <t>1.3.1. Rescate, protección  y limpieza de las cuencas del cantón</t>
  </si>
  <si>
    <t>1.3.1.1.Realizar la limpieza de 2  km  anuales de los cauces de los puerpos de agua superficial que se encuentran en el cantón Central de Heredia.</t>
  </si>
  <si>
    <t>1.3.2. Reforestación y creación de zonas verdes.</t>
  </si>
  <si>
    <t>1.3.2.1.Reforestar  2  km anuales de las zona de protección de los ríos y parques municipales ubicados en al micro cuencas más vulnerables del cantón.</t>
  </si>
  <si>
    <t>1.3.3. Sustitución de las especies forestales  que se ubican en los parques heredianos, por las especies adecuadas a la zona de vida</t>
  </si>
  <si>
    <t xml:space="preserve">1.3.3.1.Realizar el cambio paulatino de las especies que se ubican en 2 parques Heredianos por año </t>
  </si>
  <si>
    <t>1.3.4. Programas de Bandera Azul.</t>
  </si>
  <si>
    <t xml:space="preserve">1.3.4.1.Realizar las acciones  necesarias para promover los PBAE en cada comunidad </t>
  </si>
  <si>
    <t>1.4. Programa de Ordenamiento Territorial</t>
  </si>
  <si>
    <t>1.4.1.1.Aprobación del Plan Regulador</t>
  </si>
  <si>
    <t>1.4.1.2.Aplicar el Plan Regulador del Cantón de Heredia</t>
  </si>
  <si>
    <t>1.4.2.1.Elaborar el Plan Regulador de Vara Blanca</t>
  </si>
  <si>
    <t>1.4.3.1.Realizar 35,000 demarcaciones horizontales y señalización vertical durante todo el período.</t>
  </si>
  <si>
    <t>1.4.4.Supervisión zonas de estacionamiento autorizado</t>
  </si>
  <si>
    <t>1.4.4.1.Realizar  4000 recorridos anuales por parte de los inspectores para supervisar las zonas de estacionamiento.</t>
  </si>
  <si>
    <t>1.4.5. Ordenamiento vial</t>
  </si>
  <si>
    <t>1.4.5.1.Presentar al MOPT una propuesta de ordenamiento vial</t>
  </si>
  <si>
    <t>2.1.Programa de Infraestructura Pública</t>
  </si>
  <si>
    <t>2.1.1. Construcción, mejoramiento y mantenimiento del alcantarillado pluvial y cordón y caño</t>
  </si>
  <si>
    <t>2.1.2. Construcción y mantenimiento  de rampas</t>
  </si>
  <si>
    <t>2.1.3. Construcción y mantenimiento de puentes</t>
  </si>
  <si>
    <t>2.1.4. Construcción y mantenimiento de la red vial.</t>
  </si>
  <si>
    <t>2.1.2.1.Construcción de 200 rampas anuales  en zonas públicas</t>
  </si>
  <si>
    <t>2.1.3.1.Construcción de 2 Puentes  anuales en el Cantón Central de Heredia</t>
  </si>
  <si>
    <t>2.1.4.1.Recarpeteo de 15 km anuales de vías cantonales</t>
  </si>
  <si>
    <t>2.1.4.2.Colocación de  2000 Toneladas anuales de mezcla asfáltica  de vías cantonales en proyectos de bacheo</t>
  </si>
  <si>
    <t>2.2.1.2. Construcción de al menos 2 mini-gimnasios por año en áreas públicas.</t>
  </si>
  <si>
    <t>2.2.2.  Creación zonas para ciclistas y patinadores.</t>
  </si>
  <si>
    <t>3.1.Asesorar y Dirigir de forma oportuna las diferentes dependencias municipales en la toma de decisiones.</t>
  </si>
  <si>
    <t>3.1.1.Digiltalización de los expedientes de la Dirección Jurídica.</t>
  </si>
  <si>
    <t>3.1.1.1.Implementación del Proyecto de digitalización de expedientes de la Dirección Jurídica</t>
  </si>
  <si>
    <t>3.2.Desarrollo Sistemático del Proceso de Autoevaluación totalmente integrado a la Planificación Institucional</t>
  </si>
  <si>
    <t>3.2.1.Herramientas digitales para el desarrollo sistemático de las Autoevaluaciones Anuales del Sistema de Control Interno.</t>
  </si>
  <si>
    <t>3.2.2.Aplicación del Modelo de Madurez a nivel Gerencial (Titular de Alcaldía, Planificación y Directores)</t>
  </si>
  <si>
    <t>3.4.Sugerencias a la Administración para el fortalecimiento del Sistema de Control Interno Institucional y su integración a la Gestión Institucional</t>
  </si>
  <si>
    <t>3.4.1.Estudio de la estructura  de Control Interno para brindar el servicio que la Institución demanda en materia de control Interno.</t>
  </si>
  <si>
    <t>3.4.1.1.Presentar el estudio a la Administración para el fortalecimiento de la estructura de  Control Interno según lo requerido por la institución.</t>
  </si>
  <si>
    <t>3.4.2.Asesoría formal y acompañamiento continuo en materia de Control Interno</t>
  </si>
  <si>
    <t>3.4.2.2.Valoración de las prioridades institucionales para el funcionamiento del Sistema de Control Interno.</t>
  </si>
  <si>
    <t>3.4.3.Propuesta para la adquisición de un sistema informático para la administración de la información de Control Interno.</t>
  </si>
  <si>
    <t>3.5.Alcance de la Capacitación en materia de Control Interno para su integración a la Gestión Institucional</t>
  </si>
  <si>
    <t>3.5.1.Programa de Capacitación Continua en materia de Control Interno</t>
  </si>
  <si>
    <t>3.5.1.1.Plan de Capacitaciones programado</t>
  </si>
  <si>
    <t>3.6.Fortalecimineto de las Unidades administrativas municipales.</t>
  </si>
  <si>
    <t>OBJETIVO</t>
  </si>
  <si>
    <t>PROYECTO</t>
  </si>
  <si>
    <t>INDICADOR</t>
  </si>
  <si>
    <t>PERIODO EJECUCION</t>
  </si>
  <si>
    <t>METAS</t>
  </si>
  <si>
    <t>ACCION ESTRATEGICA</t>
  </si>
  <si>
    <t>RESPONSABLE</t>
  </si>
  <si>
    <t>Generar estrategias y propuestas acordes  a las necesidades específicas de poblaciones vulnerables.</t>
  </si>
  <si>
    <t>MUNICIPALIDAD DE HEREDIA</t>
  </si>
  <si>
    <t>PLAN DE DESARROLLO MUNICIPAL A MEDIANO PLAZO</t>
  </si>
  <si>
    <t>AREA ESTRATEGICA: DESARROLLO SOCIAL</t>
  </si>
  <si>
    <t>Promover prácticas ecológicas que incentiven la participación local y el compromiso real con el ambiente.</t>
  </si>
  <si>
    <t>PLAN DE DESARROLLO MUNICIPAL</t>
  </si>
  <si>
    <t>AREA ESTRATEGICA</t>
  </si>
  <si>
    <t>PESO</t>
  </si>
  <si>
    <t>TOTAL</t>
  </si>
  <si>
    <t>No.</t>
  </si>
  <si>
    <t xml:space="preserve">PROYECTOS </t>
  </si>
  <si>
    <t>DESARROLLO SOCIAL</t>
  </si>
  <si>
    <t xml:space="preserve">Encargado de Gestión Ambiental </t>
  </si>
  <si>
    <t>INST. CON QUE SE DEBE COORDINAR</t>
  </si>
  <si>
    <t>Bandera Azul-ESPH-AyA, Depto. Gestión Ambiental INA, INA.</t>
  </si>
  <si>
    <t>Estudio realizado</t>
  </si>
  <si>
    <t>Patrimonio Histórico Nacional, Ministerio de Salud.</t>
  </si>
  <si>
    <t>ADI</t>
  </si>
  <si>
    <t>INA</t>
  </si>
  <si>
    <t>Generar un desarrollo económico ambientalmente sostenible promocionado los atractivos  turísticos del cantón por medio de la actividad turística, ecológica y artesanal</t>
  </si>
  <si>
    <t>Mejorar y dar mantenimiento a la infraestructura pública, considerando las necesidades de toda la población herediana.</t>
  </si>
  <si>
    <t>Propiciar espacios de esparcimiento y recreación para el disfrute de toda la comunidad herediana.</t>
  </si>
  <si>
    <t>RESULTADOS ESPERADOS</t>
  </si>
  <si>
    <t>RESULTADO ESPERADO</t>
  </si>
  <si>
    <t>Promover la empresa privada y generar fuente de empleo</t>
  </si>
  <si>
    <t>Mitigar o disminuir la delincuencia</t>
  </si>
  <si>
    <t xml:space="preserve">Mayor control </t>
  </si>
  <si>
    <t>Contar con instalaciones adecuadas.</t>
  </si>
  <si>
    <t>Crear conciencia ambiental</t>
  </si>
  <si>
    <t>Menor Contaminación, contribución al cuido del ambiente.</t>
  </si>
  <si>
    <t>Recuperar áreas  con usos de suelos no deseados.</t>
  </si>
  <si>
    <t>Mejor ordenamiento y desarrollo para la comunidad</t>
  </si>
  <si>
    <t>Prevenir inundaciones</t>
  </si>
  <si>
    <t>Ampliación y ordenamiento</t>
  </si>
  <si>
    <t>Lugares para la recreación y el deporte</t>
  </si>
  <si>
    <t xml:space="preserve">Fortalecer la seguridad  ciudadana, implementando  estrategias y alianzas con otras instituciones  con el fin de propiciar un ambiente seguro para toda la comunidad herediana.
</t>
  </si>
  <si>
    <t>MINISTERIO DE SALUD</t>
  </si>
  <si>
    <t>ESPH</t>
  </si>
  <si>
    <t>INFRAESTRUCTURA</t>
  </si>
  <si>
    <t>Proyecto implementado</t>
  </si>
  <si>
    <t>Isabel Sáenz Soto Dirección Jurídica</t>
  </si>
  <si>
    <t>Desarrollar el proceso de Autoevaluación del SCI de forma sistemática, estratégicamente programado para el debido cumplimiento de la normativa de control Interno y mejoramiento continuo de la gestión y planificación institucional.</t>
  </si>
  <si>
    <t>Porcentaje de herramienta de Autoevaluación anual formuladas.</t>
  </si>
  <si>
    <t>Licda. Rosibel Rojas Coordinadora de Control Interno</t>
  </si>
  <si>
    <t>Comité Institucional de Control Interno</t>
  </si>
  <si>
    <t>Desarrollo sistemático del Proceso de ASCI en la Municipalidad de Heredia.</t>
  </si>
  <si>
    <t>Aplicación del Modelo de Madurez a nivel Gerencial (Titular de Alcaldía, Planificación y Directores)</t>
  </si>
  <si>
    <t>Porcentaje de análisis y aplicación realizada</t>
  </si>
  <si>
    <t>Titulares de Alcaldía, Planificación y Direcciones</t>
  </si>
  <si>
    <t>Porcentaje de herramienta de Valoración de Riesgos anual formuladas.</t>
  </si>
  <si>
    <t>Desarrollo sistemático del Proceso de Valoración de Riesgos en la Municipalidad de Heredia.</t>
  </si>
  <si>
    <t>Porcentaje de análisis realizado sobre avances del funcionamiento del SEVRI</t>
  </si>
  <si>
    <t>Titulares de Alcaldía, Planificación y Direcciones.</t>
  </si>
  <si>
    <t>Promover en la Municipalidad la incorporación del Sistema de Control Interno como parte integral de la Gestión Institucional con el fin de llevar a la Municipalidad de Heredia a un nivel óptimo de Madurez en Control Interno.</t>
  </si>
  <si>
    <t>Estudio de la estructura requerida  en la Unidad de Control Interno para brindar el servicio que la Institución demanda en materia de control Interno.</t>
  </si>
  <si>
    <t>Estudio presentado</t>
  </si>
  <si>
    <t>Nueva estructura de la UCI</t>
  </si>
  <si>
    <t>Asesoría formal y acompañamiento continuo en materia de Control Interno</t>
  </si>
  <si>
    <t>Proceso Asesoría actualizado</t>
  </si>
  <si>
    <t>Valoración realizada y presentada.</t>
  </si>
  <si>
    <t>Propuesta para la adquisición de un sistema informático para la administración de la información de Control Interno.</t>
  </si>
  <si>
    <t>Propuesta presentada</t>
  </si>
  <si>
    <t>Dirección Financiera Administrativa y Alcaldía.</t>
  </si>
  <si>
    <t>Programa de Capacitación Continua en materia de Control Interno</t>
  </si>
  <si>
    <t>Plan de Capacitaciones</t>
  </si>
  <si>
    <t>Personal Municipal capacitado para el debido funcionamiento del SCI y SEVRI</t>
  </si>
  <si>
    <t>Recursos Humanos y Policía Municipal</t>
  </si>
  <si>
    <t>Policía Municipal, Dirección de Servicios y Gestión Ingresos, Dirección Jurídica</t>
  </si>
  <si>
    <t>Fuerza Pública y OIJ</t>
  </si>
  <si>
    <t>Porcentaje de gestiones realizadas</t>
  </si>
  <si>
    <t>Unidad Creada</t>
  </si>
  <si>
    <t>Reuniones realizadas</t>
  </si>
  <si>
    <t>Crear un programa preventivo anti drogas y delitos en Escuelas y Colegios.</t>
  </si>
  <si>
    <t>Reunión de coordinación realizada</t>
  </si>
  <si>
    <t>Policía Municipal</t>
  </si>
  <si>
    <t>MEP</t>
  </si>
  <si>
    <t>MEP Institutos de Educación</t>
  </si>
  <si>
    <t>Policía Municipal y Unidad de K-9</t>
  </si>
  <si>
    <t>IAFA, PANI,Ministerio de Justicia.</t>
  </si>
  <si>
    <t>Institutos de Educación</t>
  </si>
  <si>
    <t>Concientizar a los jóvenes sobre el daño que causan  las drogas y bajar el índice de delincuencia juvenil.</t>
  </si>
  <si>
    <t>Asociaciones de Desarrollo</t>
  </si>
  <si>
    <t>ASEO VIAS</t>
  </si>
  <si>
    <t>BASURA</t>
  </si>
  <si>
    <t>CAMINOS Y CALLES</t>
  </si>
  <si>
    <t>CEMENTERIO</t>
  </si>
  <si>
    <t>PARQUES</t>
  </si>
  <si>
    <t xml:space="preserve">Estudio de tiempos y movimientos </t>
  </si>
  <si>
    <t>25%</t>
  </si>
  <si>
    <t xml:space="preserve">Recursos Humanos </t>
  </si>
  <si>
    <t>Mejor distribución de los funcionarios</t>
  </si>
  <si>
    <t>Reglamento y Manuales  en Salud Ocupacional</t>
  </si>
  <si>
    <t>Policitcas aprobadas y divulgadas.</t>
  </si>
  <si>
    <t>100%</t>
  </si>
  <si>
    <t>Manual Aprobado y publicado.</t>
  </si>
  <si>
    <t>Reglamento aprobado y publicado.</t>
  </si>
  <si>
    <t>Proyecto aprobado.</t>
  </si>
  <si>
    <t>Plan Implementado</t>
  </si>
  <si>
    <t>Plan Aprobado.</t>
  </si>
  <si>
    <t>Porcentaje de avance del proyecto.</t>
  </si>
  <si>
    <t>Mejorar el aprovechamiento de las unidades administrativas  en lo referente a recurso humano.</t>
  </si>
  <si>
    <t>Crear una cultura laboral dirigida hacia la prevención y promoción de la Salud ocupacional</t>
  </si>
  <si>
    <t>Diagnóstico elaborado</t>
  </si>
  <si>
    <t>Plan Elaborado</t>
  </si>
  <si>
    <t>Porcentaje proyecto implementado</t>
  </si>
  <si>
    <t xml:space="preserve">Unidad Ambiental </t>
  </si>
  <si>
    <t>Plan Aprobado</t>
  </si>
  <si>
    <t>Plan Aplicado</t>
  </si>
  <si>
    <t>Dirección de Operaciones</t>
  </si>
  <si>
    <t>Estacionamiento Autorizado</t>
  </si>
  <si>
    <t>Junta Vial Cantonal y UTGV</t>
  </si>
  <si>
    <t>Departamento Caminos y Calles</t>
  </si>
  <si>
    <t xml:space="preserve">AyA. ESPH. </t>
  </si>
  <si>
    <t>N° de Notificaciones por aceras realizadas</t>
  </si>
  <si>
    <t>Departamento de Ingeniería</t>
  </si>
  <si>
    <t>Estudio integral realizado</t>
  </si>
  <si>
    <t>Unidad Ambiental</t>
  </si>
  <si>
    <t>Unidad Ambiental y cada comité de BAE</t>
  </si>
  <si>
    <t>Espacios de recreación para estos grupos.</t>
  </si>
  <si>
    <t>Mejora las condiciones de las aceras del cantón.</t>
  </si>
  <si>
    <t>Contar con un plan que oriente los proyectos de mantenimiento de la red vial.</t>
  </si>
  <si>
    <t>Concejo Municipal</t>
  </si>
  <si>
    <t>Recursos asignados</t>
  </si>
  <si>
    <t>7.1.1.</t>
  </si>
  <si>
    <t>Construcción y arreglo de rampas</t>
  </si>
  <si>
    <t>Construcción y mantenimiento de puentes</t>
  </si>
  <si>
    <t>Construcción y mantenimiento de la red vial.</t>
  </si>
  <si>
    <t>Mejorar las condiciones del Mercado Municipal</t>
  </si>
  <si>
    <t>7.2.1.</t>
  </si>
  <si>
    <t>Proyecto de  capacitación continúa para la generación de empleo y creación de pequeñas y medianas empresas.</t>
  </si>
  <si>
    <t>1.1.1.</t>
  </si>
  <si>
    <t>1.2.1.</t>
  </si>
  <si>
    <t>3.1.1.</t>
  </si>
  <si>
    <t>3.2.1.</t>
  </si>
  <si>
    <t>Programas de Bandera Azul.</t>
  </si>
  <si>
    <t>Reforestación y creación de zonas verdes.</t>
  </si>
  <si>
    <t>Rescate, protección  y limpieza de las cuencas del cantón</t>
  </si>
  <si>
    <t>Prevenir el delito y prevención de consumo de drogas no autorizadas por medio de programas de Educación en Escuelas y Colegios del Cantón Central de Heredia.</t>
  </si>
  <si>
    <t>Establecer una subdelegación policial en San Francisco.</t>
  </si>
  <si>
    <t>Crear alianzas entre la policía municipal y las organizaciones comunales en cuestiones de   Seguridad ciudadana.</t>
  </si>
  <si>
    <t>Generar acciones para que las instancias policiales y judiciales con presencia local,  ejerzan las potestades que la ley les otorga en materia de seguridad.</t>
  </si>
  <si>
    <t>4.1.1.</t>
  </si>
  <si>
    <t xml:space="preserve"> Impulsar programas de reciclaje en el Cantón de Heredia.</t>
  </si>
  <si>
    <t>Crear Centros de acopio Cantonal</t>
  </si>
  <si>
    <t>6.1.1.</t>
  </si>
  <si>
    <t>6.1.2.</t>
  </si>
  <si>
    <t>6.2.1.</t>
  </si>
  <si>
    <t>Campañas de capacitación y concientización en materia ambiental.</t>
  </si>
  <si>
    <t>Cumplir con el Plan Regulador  del cantón Central de Heredia.</t>
  </si>
  <si>
    <t>Ofrecer  todo tipo de servicios y aplicaciones en línea para la Ciudad de Heredia mediante el desarrollo e implementación de una plataforma tecnológica de Gobierno Digital Inteligente.</t>
  </si>
  <si>
    <t>Análisis y diseño realizado</t>
  </si>
  <si>
    <t>Diseño que garantice la puesta en marcha de los servicios digitales de esta municipalidad con una arquitectura moderna e independiente de fabricantes o marcas de hardware; que permita fijar las bases para el desarrollo e implementación futura de una plataforma tecnológica de Gobierno Digital Inteligente, ofreciendo todo tipo de servicios y aplicaciones en línea para la Ciudad de Heredia.</t>
  </si>
  <si>
    <t>Porcentaje de implementación realizada</t>
  </si>
  <si>
    <t>Ofrecer servicios digitales con el fin permitir a la ciudadanía un mejor acceso a trámites municipales e información relevante.</t>
  </si>
  <si>
    <t>Mejorar la imagen de la Municipalidad ante la ciudadanía herediana.</t>
  </si>
  <si>
    <t>Diagnóstico realizado</t>
  </si>
  <si>
    <t>Ministerio de Salud, Organizaciones comunales, Fuerza Pública, Dirección de Tránsito.</t>
  </si>
  <si>
    <t>Disminuir las quejas y denuncias con relación a los servicios municipales.</t>
  </si>
  <si>
    <t>Acciones implementadas.</t>
  </si>
  <si>
    <t>Administrar de forma digital  los expedientes de la Dirección Jurídica, con el objetivo de tener la información de los expedientes digitalizados de manera que agilice más los procesos judiciales y administrativos.</t>
  </si>
  <si>
    <t>Contraloría de Servicios</t>
  </si>
  <si>
    <t xml:space="preserve">Promover el cambio a nivel institucional y laboral mediante el mejoramiento de la imagen interna y externa. </t>
  </si>
  <si>
    <t>Porcentaje de acciones realizadas</t>
  </si>
  <si>
    <t xml:space="preserve">Marjorie Chacón / Rodny Rojas </t>
  </si>
  <si>
    <t>Alcaldía</t>
  </si>
  <si>
    <t>Cambiar la imagen de la Municipalidad ante los usuarios Internos y Externos.</t>
  </si>
  <si>
    <t xml:space="preserve">Consolidar espacios de comunicación horizontal con la ciudadanía y propiciar espacios democráticos. </t>
  </si>
  <si>
    <t xml:space="preserve">Contribuir a la promoción de la cultura Herediana </t>
  </si>
  <si>
    <t>Porcentaje de documentos o folletos producidos</t>
  </si>
  <si>
    <t>Alcaldía,  Archivo Central, Direcciones</t>
  </si>
  <si>
    <t>Mejorar la imagen que tienen los funcionarios municipales con respecto a los servicios que presta la Municipalidad.</t>
  </si>
  <si>
    <t>Alcaldía Recursos Humanos</t>
  </si>
  <si>
    <t xml:space="preserve">Desarrollar  un medio de divulgación para comunicar a la ciudadanía herediana de las acciones y resultados obtenidos. </t>
  </si>
  <si>
    <t>Medio creado</t>
  </si>
  <si>
    <t xml:space="preserve">Alcaldía Direcciones </t>
  </si>
  <si>
    <t>Contar con un registro digital de todas las declaraciones de Bienes Inmuebles presentadas por los contribuyentes.</t>
  </si>
  <si>
    <t>Porcentaje de digitalización realizada.</t>
  </si>
  <si>
    <t>Marco A. Ruiz, Jefe de Catastro</t>
  </si>
  <si>
    <t>Empresa GSI</t>
  </si>
  <si>
    <t>Contar con un registro digital de todas las no afectaciones  de Bienes Inmuebles presentadas por los contribuyentes.</t>
  </si>
  <si>
    <t>Dirección de Operaciones, Administración del Mercado</t>
  </si>
  <si>
    <t>No. de obras realizadas</t>
  </si>
  <si>
    <t>Administrador del Mercado</t>
  </si>
  <si>
    <t>Patrimonio Histórico Nacional, Dpto. Ingeniería.</t>
  </si>
  <si>
    <t>Contar con un Mercado Accesible y Moderno.</t>
  </si>
  <si>
    <t>Brindar el servicio de limpieza de vías, parques y recolección de basura en el  Cantón Central de Heredia</t>
  </si>
  <si>
    <t>Depto. Aseo de Vías</t>
  </si>
  <si>
    <t>Porcentaje del Servicio brindado</t>
  </si>
  <si>
    <t>Dirección Operaciones</t>
  </si>
  <si>
    <t xml:space="preserve">Contar con un Cantón limpio </t>
  </si>
  <si>
    <t>Porcentaje de gestión realizada</t>
  </si>
  <si>
    <t>Contar con nuevas alternativas de servicio.</t>
  </si>
  <si>
    <t>Dir. Servicios, Alcaldía, Banca Privada</t>
  </si>
  <si>
    <t>COLOSEVI</t>
  </si>
  <si>
    <t>Mejor orientación y señalización vial.</t>
  </si>
  <si>
    <t>Supervisar la utilización adecuada de las zonas de estacionamiento</t>
  </si>
  <si>
    <t>Contar con Estados Financieros, veraces, eficaces y oportunos para la toma de decisiones.</t>
  </si>
  <si>
    <t>Porcentaje actualización y revaloración realizada</t>
  </si>
  <si>
    <t>Dirección Financiera y Dpto. de Contabilidad</t>
  </si>
  <si>
    <t>C.G.R. y Contabilidad Nacional</t>
  </si>
  <si>
    <t>Tener actualizado y revaluados todos los activos institucionales</t>
  </si>
  <si>
    <t>Contar con información digitalizada para ofrecer un mejor servicios</t>
  </si>
  <si>
    <t>Mejorar los medios de cobro a los contribuyentes a fin de ser más eficientes en la recaudación.</t>
  </si>
  <si>
    <t>Depto. De Tesorería</t>
  </si>
  <si>
    <t>Bancos</t>
  </si>
  <si>
    <t>Lograr la recaudación de todos los ingresos municipales en forma eficiente  y ágil para el contribuyente.</t>
  </si>
  <si>
    <t>incentivar a los proveedores a utilizar la cuenta bancaria para garantías.</t>
  </si>
  <si>
    <t>Logar mayor seguridad en el control y manejo de los valores utilizando el avance tecnológico.</t>
  </si>
  <si>
    <t>Depto. De Cómputo y Proveeduría, Proveedores</t>
  </si>
  <si>
    <t>Dirección Financiera.</t>
  </si>
  <si>
    <t>Pago de las obligaciones por medios electrónicos, logrando mayor agilidad y eficiencia.</t>
  </si>
  <si>
    <t>Contar con información digitalizada con el fin de facilitar los procesos judiciales y Administrativos.</t>
  </si>
  <si>
    <t>Adquirir un Sistema de grabación con video, en el cual queden consignadas y registradas todas las incidencias y acontecimientos que se generan en las Sesiones del Concejo Municipal para que las actas queden transcritas directamente del computador.</t>
  </si>
  <si>
    <t>Secretaria Concejo Municipal</t>
  </si>
  <si>
    <t>Concejo Municipal, Alcaldía, Cómputo</t>
  </si>
  <si>
    <t xml:space="preserve">Contar con un sistema de grabación de actas con video  </t>
  </si>
  <si>
    <t>Contar con un sistema de firma digital a fin de implementar el proceso de notificación mediante soporte electrónico.</t>
  </si>
  <si>
    <t>Diseño realizado</t>
  </si>
  <si>
    <t>Dirección de Servicios y Gestión de Ingresos</t>
  </si>
  <si>
    <t>Porcentaje de implementación realizado</t>
  </si>
  <si>
    <t>Ofrecer espacios de recreación modernos y accesibles con el fin de  fortalecer el turismo en el cantón.</t>
  </si>
  <si>
    <t>Contar con expedientes digitalizados para poder ubicar a todos los propietarios y uso de los derechos</t>
  </si>
  <si>
    <t>Levantamiento realizado</t>
  </si>
  <si>
    <t>Administrador Cementerio</t>
  </si>
  <si>
    <t>Porcentaje del proceso de digitalización realizado</t>
  </si>
  <si>
    <t>Contar con información actualizada y digitalizada de los propietarios  y usos de los derechos</t>
  </si>
  <si>
    <t>Porcentaje de rotulación realizada</t>
  </si>
  <si>
    <t>Tener rotulación accesible para todos los usuarios del Cementerio Central.</t>
  </si>
  <si>
    <t>Dar seguimiento al cumplimiento del Plan de Desarrollo Municipal.</t>
  </si>
  <si>
    <t>Sistema Implementado</t>
  </si>
  <si>
    <t>Planificación</t>
  </si>
  <si>
    <t>Alcaldía y Jefaturas</t>
  </si>
  <si>
    <t>Contar con un sistema que permita medir resultados a fin de tomar acciones correctivas cuando proceda</t>
  </si>
  <si>
    <t>Instalar un sistema de firma digital, para realizar las notificaciones a través de medio electrónicos y de la red, tanto a lo interno de la institución, como a nivel externo.</t>
  </si>
  <si>
    <t>Modernización y Accesibilidad del Complejo Turístico Las Chorreras</t>
  </si>
  <si>
    <t>Supervisión zonas de estacionamiento autorizado</t>
  </si>
  <si>
    <t>Implementación de la Red de Servicios Digitales</t>
  </si>
  <si>
    <t>Plan de mejoramiento de los servicios que brinda la Municipalidad.</t>
  </si>
  <si>
    <t xml:space="preserve">Plan Anual de Medios de comunicación masiva </t>
  </si>
  <si>
    <t xml:space="preserve">Plan de medios en redes sociales que propicie espacios de opinión, consulta y creación de información </t>
  </si>
  <si>
    <t>Coordinar con al Comisión de  Cultura y Unidad Administrativa a cargo para divulgar y promover la cultura Herediana.</t>
  </si>
  <si>
    <t>Plan de Mejoramiento de la Comunicación y Divulgación  Interna  de la Municipalidad</t>
  </si>
  <si>
    <t>Medio de comunicación escrito propio.</t>
  </si>
  <si>
    <t>Digitalización de las Declaraciones de Bienes Inmuebles.</t>
  </si>
  <si>
    <t>Digitalización de las No Afectaciones de Bienes Inmuebles.</t>
  </si>
  <si>
    <t xml:space="preserve"> Aplicación de las Normas Internacionales de Contabilidad del Sector Público (N.I.C.S.P.)</t>
  </si>
  <si>
    <t xml:space="preserve"> Conectividad con otros bancos y ampliación de horario en cajas para cobros de fin de trimestre.</t>
  </si>
  <si>
    <t xml:space="preserve"> Establecer mecanismos financieros para la recepción de garantías.</t>
  </si>
  <si>
    <t xml:space="preserve"> Pago electrónico de servicios y proveedores.</t>
  </si>
  <si>
    <t xml:space="preserve"> Sistema de grabación con video.</t>
  </si>
  <si>
    <t xml:space="preserve"> Sistema de firma digital.</t>
  </si>
  <si>
    <t>Sistema de seguimiento Plan de Desarrollo Municipal</t>
  </si>
  <si>
    <t>Dar honor al nombre de la provincia y fortalecer el turismo en el cantón.</t>
  </si>
  <si>
    <t>Ofrecer herramientas que faciliten la inserción laboral.</t>
  </si>
  <si>
    <t>Satisfacer las necesidades de la comunidad y brindar un mejor servicio.</t>
  </si>
  <si>
    <t>Inducir al cambio en la conducta humana con respecto al ambiente.</t>
  </si>
  <si>
    <t>Distribuir los recibos o estados de cuenta a los contribuyentes del Cantón</t>
  </si>
  <si>
    <t>Convenio firmado</t>
  </si>
  <si>
    <t>Rentas y Cobranzas</t>
  </si>
  <si>
    <t>E.S.P.H., Computo, Catastro</t>
  </si>
  <si>
    <t>Porcentaje de registros actualizados</t>
  </si>
  <si>
    <t>Impulsar la creación de un Centro Infantil Municipal para el cuido de personas menores de edad de los 0 a los 12 años, con horario de funcionamiento 6 am a 6 pm.</t>
  </si>
  <si>
    <t>Definida normativa de funcionamiento y plan de estudio, estudio de factibilidad</t>
  </si>
  <si>
    <t xml:space="preserve">Unidad Administrativa que vela por Equidad de Género (UAEG) – Dirección de Asuntos Jurídicos, Unidad de presupuesto. </t>
  </si>
  <si>
    <t>MEP, Ministerio Salud, IMAS, otras</t>
  </si>
  <si>
    <t>Estudio de factibilidad que refleje las gestiones y coordinación entre las instituciones implicadas.</t>
  </si>
  <si>
    <t>Fondos disponibles Y Equipado centro infantil de cuido.</t>
  </si>
  <si>
    <t>UAEG – Comisión Municipal de la Condición de la Mujer (CMCM) – Alcaldía.</t>
  </si>
  <si>
    <t>MEP, Cámara de Comercio (Empresa Privada en general)</t>
  </si>
  <si>
    <t>Centro Infantil con equipo necesario y los recursos suficientes para iniciar funcionamiento.</t>
  </si>
  <si>
    <t>Centro Infantil de cuido funcionando</t>
  </si>
  <si>
    <t>UAEG – Comisión Municipal de la Condición de la Mujer (CMCM) – Alcaldía</t>
  </si>
  <si>
    <t>La Municipalidad de Heredia inaugura Centro Infantil Modelo para la atención de la niñez Herediana.</t>
  </si>
  <si>
    <t>Promover acciones afirmativas que promuevan la equidad de género y la participación de las mujeres.</t>
  </si>
  <si>
    <t>Apoyar la gestión de Centros Diurnos de Atención Especializados para personas con Discapacidad de diferentes edades.</t>
  </si>
  <si>
    <t>Documento de diagnóstico</t>
  </si>
  <si>
    <t>UAEG – Departamento de Planificación y Unidad Administrativa responsable de Desarrollo Social, Comisión Municipal de Accesibilidad</t>
  </si>
  <si>
    <t>Concejo Nacional de Rehabilitación y Educación Especial. Asociaciones de Desarrollo</t>
  </si>
  <si>
    <t>Documento de Plan estratégico</t>
  </si>
  <si>
    <t>Informes de Acciones realizadas</t>
  </si>
  <si>
    <t xml:space="preserve">Apoyar la gestión de  Centros Diurnos para Personas Adultas Mayores </t>
  </si>
  <si>
    <t>UAEG –Unidad Administrativa responsable de Desarrollo Social</t>
  </si>
  <si>
    <t>CONAPAM, UNA (Programa Movimiento para la Vida, MOVI) y Asociaciones de Desarrollo.</t>
  </si>
  <si>
    <t>Informe de acciones realizadas</t>
  </si>
  <si>
    <t>La Municipalidad de Heredia asume un papel protagónico y apoya la gestión de las entidades que brindan atención integral a las personas adultas mayores..</t>
  </si>
  <si>
    <t>La Municipalidad de Heredia asume un papel protagónico y apoya la gestión de las entidades que brindan atención integral a las personas con capacidades diversas.</t>
  </si>
  <si>
    <t xml:space="preserve">Implementar espacios de cuido para personas menores de edad paralelos a las reuniones y capacitaciones que promueve y coordina la Municipalidad de manera que las personas que asistan puedan contar con un servicio de calidad para el cuido de niños y niñas mientras participan de estas convocatorias. </t>
  </si>
  <si>
    <t>UAEG en coordinación con las distintas unidades, Unidad Administrativa encargada de Comunicación Interna y Externa, Proveeduría Municipal, grupos organizados, Universidades.</t>
  </si>
  <si>
    <t>Programa de Trabajo Comunal Universitario de Universidades Púbicas y/o Privadas.</t>
  </si>
  <si>
    <t>Todas las Asociaciones de Desarrollo, organizaciones comunales y otras fuerzas vivas sensibilizadas y comprometidas con la igualdad y equidad de género, facilitan espacios para el cuido de personas menores de edad paralelos a las reuniones y otras actividades que programan.</t>
  </si>
  <si>
    <t>UAEG</t>
  </si>
  <si>
    <t>Interno</t>
  </si>
  <si>
    <t>La Municipalidad de Heredia cuenta con una base  de datos actualizada de personas que brindan el servicio de cuido para facilitar la participación de las mujeres en los procesos de capacitación.</t>
  </si>
  <si>
    <t>Directriz Interna</t>
  </si>
  <si>
    <t>Alcaldía, unidades administrativas y  Proveeduría Municipal.</t>
  </si>
  <si>
    <t>La Municipalidad de Heredia desarrolla procesos de capacitación dirigidos a la comunidad en los que se han contemplado de manera paralela espacios de cuido para personas menores de edad.</t>
  </si>
  <si>
    <t xml:space="preserve">Porcentaje de  personas menores de edad atendidas por actividad.
</t>
  </si>
  <si>
    <t>Todas las unidades administrativas que desarrollen actividades de capacitación</t>
  </si>
  <si>
    <t>Programa de Trabajo Comunal Universitario de Universidades Púbicas y/o Privadas</t>
  </si>
  <si>
    <t>Mayor participación de las mujeres en procesos de capacitación que promueve la Municipalidad en las comunidades</t>
  </si>
  <si>
    <t>Ampliar las posibilidades laborales  mediante  capacitaciones que respondan a la demanda real del mercado y creación de mecanismos que faciliten la creación de pequeñas y medianas empresas.</t>
  </si>
  <si>
    <t>Documento con normativa de funcionamiento y estudio de factibilidad</t>
  </si>
  <si>
    <t>Alcaldía, UAEG, Programa de Intermediación Laboral</t>
  </si>
  <si>
    <t>ONG y Empresa Privada</t>
  </si>
  <si>
    <t>Se cuenta con las condiciones necesarias que garanticen el funcionamiento óptimo del primer Mercado de Mujeres Emprendedoras</t>
  </si>
  <si>
    <t>Espacio para realizar Feria de Mujeres empresarias equipado y funcionando de manera permanente.</t>
  </si>
  <si>
    <t xml:space="preserve">Realizar un diagnóstico, desde la perspectiva de género de las necesidades e intereses de las personas que asisten a Centros Diurnos para personas con Discapacidad. </t>
  </si>
  <si>
    <t>Elaborar una estrategia y Plan  para la promoción del empleo para personas con discapacidad del Cantón Central de Heredia.(7.3.4.1)</t>
  </si>
  <si>
    <t>Actualizar el sitio web con información sobre servicios y recursos del cantón de Heredia disponible a todas las personas especialmente las que enfrentan discapacidad, y suministrada por los diferentes departamentos.</t>
  </si>
  <si>
    <t>Revision del 100% de otorgamiento de patentes y autorizaciones similares, se fiscalizara el cumplimiento de la Ley 7600 y su reglamento</t>
  </si>
  <si>
    <t xml:space="preserve">Se inspeccionará un total de 1500 establecimientos que brindan servicios al público, cuyas autorizaciones fueron otorgadas antes de diciembre de 2010,  a fin de determinar  el cumplimiento  o no de las especificaciones de la ley 7600 y su reglamento en materia de accesibilidad. </t>
  </si>
  <si>
    <t xml:space="preserve">Envío de 1500 notificaciones los propietarios de establecimientos que no cumplen con las especificaciones de accesibilidad de la ley 7600 y su reglamento, a fin de que efectúen en un tiempo prudencial  las adecuaciones pertinentes. </t>
  </si>
  <si>
    <t>Inspeccionar el cumplimiento de la ley 7600 y su reglamentos en 1500 establecimientos notificados.</t>
  </si>
  <si>
    <t>Construccion de 310 rampas en el Canton Central de Heredia</t>
  </si>
  <si>
    <t>Realizar  120 notificaciones para construcciones de aceras</t>
  </si>
  <si>
    <t>Contratación de un profesional para que realice un estudio diagnóstico del estado de aceras en el cantón central de Heredia</t>
  </si>
  <si>
    <t>META INCLUIDA 2012</t>
  </si>
  <si>
    <t xml:space="preserve"> Realizar 5 talleres reciclaje en el Canton de Heredia </t>
  </si>
  <si>
    <t>Realizar 11 charas anuales en los centros educativos sobre el manejo de residuos sólidos</t>
  </si>
  <si>
    <t>Conclucion del Diagnostico</t>
  </si>
  <si>
    <t>Realizar 5  charas anuales sobre el tema de reciclaje y recurs hídrico</t>
  </si>
  <si>
    <t>Convocar a 12 reuniones para revisión y aprobación del Plan Regulador del Cantón Central de Heredia</t>
  </si>
  <si>
    <t>Realizar 240 recorridos anuales, por funcionario relando las zonas de estacionamiento a todo vehículo que infrinja la ley.</t>
  </si>
  <si>
    <t>Colocación de 2000 toneladas de material asfáltico en el cantón central de Heredia.</t>
  </si>
  <si>
    <t>Realizar las gestiones necesaria para la contratar la elaboracion  de un estudio integral de la restauración del Mercado(arquitectura e infraestructura) que incluya todos los permisos respectivos.</t>
  </si>
  <si>
    <t>Contratar la mejora  del sistema de  iluminacion electrica del mercado</t>
  </si>
  <si>
    <t>Realizar las gestiones para la instalación de un cajero automático.</t>
  </si>
  <si>
    <t>Contratación de un profesional que realice estudio de factibiliad del proyecto de ciclo vías para el cantón central de Heredia</t>
  </si>
  <si>
    <t>Formular las herramientas para el desarrollo anual del Proceso de Autoevalación del Sistema de Control Interno</t>
  </si>
  <si>
    <t>Aplicar y analizar el Modelo de Madurez a nivel Gerencial (Titular de Alcaldía, Planificación y Directores)</t>
  </si>
  <si>
    <t>Formular y/o mejorar las herramientas para el desarrollo anual del Proceso de Valoración de Riesgos Institucional</t>
  </si>
  <si>
    <t>Analizar  los avances en el funcionamiento del Sistema del SEVRI a  nivel Gerencial (Titulares de Alcaldía, Planificación y Direcciones)</t>
  </si>
  <si>
    <t>Presentar un estudio a la administración para el fortalecimiento de la estructura de Control Interno según lo requerido por la institución</t>
  </si>
  <si>
    <t>Valorar, implementar y proponer a la administración acciones  para el funcionamiento del Sistema de Control Interno Institucional</t>
  </si>
  <si>
    <t>Contratar los servicios para el análisis, diseño y contrucción de un sistema informático para la administración de la información de Control Interno institucional</t>
  </si>
  <si>
    <t>Coordinar y/o brindar 6 capacitaciones (al personal Municipal, Representantes de ADI y del  Comité Cantonal de Deportes en materia de Control Interno. Conforme con el Plan de Capacitación Anual programado</t>
  </si>
  <si>
    <t xml:space="preserve">Politica de promoción de la contratación de mujeres  en puestos  consideradas "no tradicionales" como vigilancia y policia municipal, estacionamiento autorizado, taller mecánico, etc  </t>
  </si>
  <si>
    <t>Incluir en el Manual e Inducción el lenguaje inclusivo (7.2.1.5)</t>
  </si>
  <si>
    <t>Análisis y Diseño de la Arquitectura Informática mediante el fortalecimiento de las capacidades de las Tecnologías de Información y Comunicación mediante el convenio MuNet-Gobierno Digital.</t>
  </si>
  <si>
    <t>Actualizar el sitio web con documentos oficiales, comunicados, campañas, sitio web enviados por otros departamentos que integre lenguaje inclusivo.</t>
  </si>
  <si>
    <t>Implementar acciones para incrementar la presencia en los medios de comunicación, a traves de la contratacion de 1 Medio Radiofónico de cobertura nacional y 2 de cobertura local. Diseñar 3 boletines (1 por trimestre) sobre la gestión realizada durante el período y su respectiva impresión de 1500 ejemplares por Trimestre.</t>
  </si>
  <si>
    <t>Implementar el Plan de Medios en Redes Sociales que propicien espacios de opinión, consulta y creación de información.</t>
  </si>
  <si>
    <t>Producir  folletos con información cultural según las actividades que se desarrollen cada año, según lo solicitado por el (la) responsable del Área de Cultura</t>
  </si>
  <si>
    <t xml:space="preserve">Distribuir entre los funcionarios material impreso con temas propios de comunicación interna.              -Organizar 1 capacitacion por trimestre dirigida a las jefaturas con el objetivo de desarrollar la conciencia sobre una buena Comunicación Acertiva en la Institución          -Diseñar y distribuir 1 boletin electrónico mensual con los pormenores de la institucion, y otras informaciones externas que puedan ser del interés de los y las funcionarias   -Realizar 1 diagnostico sobre situación de sistemas de comunicación  interna                -Generar propuesta escrita de implementación de acciones internas de comunicación como resultado del Diagnóstico    -Realizar 1 diagnostico sobre situación de sistemas de comunicación externa </t>
  </si>
  <si>
    <t>Implementar un programa de Salud Ocupacional       -Coordinar con el departamento de Recursos Humanos una acción de autocuidado para el personal muncipal en el marco del programa de Salud Ocupacional.</t>
  </si>
  <si>
    <t xml:space="preserve">Realizar dos reuniones con la "Comisión Mixta", para dar seguimiento a la política de igualdad y equidad de género. </t>
  </si>
  <si>
    <t>Realizar 1 capacitación anual en materia de empresarialidad. (6.1.1.2)         Realizar un estudio de factibilidad que oriente el desarrollo del proyecto "Mercado Local de Mujeres Emprendedoras".</t>
  </si>
  <si>
    <t>Solicitar a la Dirección de Asuntos Jurídicos de la Municipalidad un criterio técnico sobre la viabilidad jurídica del proyecto "Fondo rotatorio de préstamos".</t>
  </si>
  <si>
    <t xml:space="preserve">Ejecutar un estudio de mercado que permita orientar ideas de negocios para que se impulsen encadenamientos productivos. </t>
  </si>
  <si>
    <t>Realizar un estudio de factibilidad que oriente el desarrollo del proyecto.</t>
  </si>
  <si>
    <t xml:space="preserve">Implementar una estrategia de comunicación (volantes, afiches, brochures) para sensibilizar a la ciudadanía sobre la importancia de incorporar espacios de cuido para personas menores de edad que faciliten la participación de las mujeres en las actividades públicas. </t>
  </si>
  <si>
    <t xml:space="preserve">Elaborar una base de datos de personas que pueden brindar el servicio de cuido. </t>
  </si>
  <si>
    <t xml:space="preserve">Desarrollar una campaña para la prevención del abuso sexual en niños y niñas de I Ciclo en tres escuelas del Cantón Central. </t>
  </si>
  <si>
    <t>Realizar un diagnóstico, desde la perspectiva de género de las necesidades e interes de als personas adultas mayores que asisten a Centros Diurnos.</t>
  </si>
  <si>
    <t xml:space="preserve">Coordinar la realización de dos ferias de la salud en dos comunidades del Cantón Central de Heredia para facilitar el acceso a los servicios de atención médica a las comunidades en general y a las mujeres en particular. </t>
  </si>
  <si>
    <t xml:space="preserve">Desarrollar un taller de capacitación sobre sexualidad integral dirigido a tres grupos de adolescentes que asisten al sistema educativo formal.                   -Desarrollar un taller de capacitación sobre sexualidad integral dirigido a un grupo de adolescentes que no asisten al sistema educativo formal. </t>
  </si>
  <si>
    <t>Apoyar la integración del enfoque de género en los procesos de contratación de personal.</t>
  </si>
  <si>
    <t>Construir una herramienta en coordinación con la Oficina de la Mujer  para identificar  prejuicios  en las personas que desean  ser contratadas en la Municipaldiad de Heredia.        -Elaborar una herramienta que permita identificar prejuicios (homo-lesbofobia, machismo, sexismo, etc) en las personas oferentes que participan del proceso de entrevista  y selección de personal en la Municipalidad de Heredia</t>
  </si>
  <si>
    <t>Apoyar  la gestión de la oficina de la Mujer en la capacitación  en temas de de igualdad  y equidad, derechos humanos, feminidades(7.2.3.1)                       -Dos talleres de capacitación dirigido al personal municipal y autoridades municipales en temas de igualdad, equidad, derechos humanos, masculinidades, feminidades, respeto a la diversidad, entre otros.</t>
  </si>
  <si>
    <t xml:space="preserve">Dos talleres de capacitación dirigido asociaciones de desarrollo, grupos organizados, fuerzas vivas de la comunidad en temas de igualdad, equidad, derechos humanos, masculinidades, feminidades, respeto a la diversidad, entre otros. </t>
  </si>
  <si>
    <t xml:space="preserve">Cuatro talleres de capacitación dirigido autoridades del MEP, docentes de secundaria y primaria de instituciones públicas en temas de igualdad, equidad, derechos humanos, masculinidades, feminidades, respeto a la diversidad, entre otros. </t>
  </si>
  <si>
    <t>Desarrollar una campaña para promover la distribución equitativa de las labores domésticas. "Responsabilidades Compartidas".</t>
  </si>
  <si>
    <t xml:space="preserve">Apoyar la gestión de diagnostico de la Oficina de la Mujer, sobre el clima organizacional con énfasis en hostigamiento sexual, por medio de comunicados y presencia en las reuniones cuando así sea solicitiado. (7.2.4.1)           -Realizar un diagnóstico interno sobre clima organizacional con énfasis en hostigamiento sexual. </t>
  </si>
  <si>
    <t xml:space="preserve">Dar a conocer a los funcionarios y autoridades municipales la normativa con respecto a Hostigamiento sexual , por medio de una campaña informativa. (7.2.5.1)                 -Realizar un taller de capacitación para dar a conocer las manifestaciones del hostigamiento sexual así como la normativa y el procedimientos institucional para proteger los derechos de las personas afectadas. </t>
  </si>
  <si>
    <t>Realizar una campaña informativa  para la divulgación  de la normativa de hostigamiento laboral en los oferentes y demandantes del Servicio de Intermediación laboral  (7.2.6.1)               -Desarrollar una campaña para la prevención del hostigamiento sexual</t>
  </si>
  <si>
    <t>Brindar servicio de atención especializada en violencia a mujeres sobrevivientes en la modalidad individual y grupo terapéutico.</t>
  </si>
  <si>
    <t xml:space="preserve">Impulsar un convenio de cooperación para brindar el servicio de consultorios jurídicos. </t>
  </si>
  <si>
    <t>Elaborar un protocolo de intervención de la policía municipal en casos de violencia doméstica.</t>
  </si>
  <si>
    <t>Realiza un taller de capacitación en liderazgo político de las mujeres dirigido a lideresas comunales.</t>
  </si>
  <si>
    <t xml:space="preserve">Realizar un encuentro de líderes y lideresas del Cantón. </t>
  </si>
  <si>
    <t>Limpieza del 100%  de vías del Distrito Central</t>
  </si>
  <si>
    <t>Brindar el servicio de recolección de basura al 100% de los contribuyentes del Cantón Central de Heredia.</t>
  </si>
  <si>
    <t>Realizar la Limpieza de  parques   del Cantón Central de Heredia</t>
  </si>
  <si>
    <t>Realizar el mantenimiento y jardinería en las áreas verdes en varios lugares del Cantón Central de Heredia</t>
  </si>
  <si>
    <t>Realizar la digitalización del 100% de las declaraciones de Bienes Inmuebles que se presenten en el año 2012.</t>
  </si>
  <si>
    <t>Realizar la digitalización del 100% de las No Afectaciones de Bienes Inmuebles que se presenten en el año.</t>
  </si>
  <si>
    <t>Realizar el levantamiento físico de los expedientes y derechos en campo</t>
  </si>
  <si>
    <t>Aplicar al público encuenta anual para medir la satisfacción de los servicios y trámites realizados           -Realizar diagnóstico para conocer la percepión de los ciudadanos con respecto a los servicios brindados por la Municipalidad.</t>
  </si>
  <si>
    <t>Realizar un diagnóstico de las necesidades de las personas con discapacidad del Cantón Central de Heredia.                                                                  -Realizar el diagnóstico de las necesidades de las personas con discapacidad del Cantón Central de Heredia</t>
  </si>
  <si>
    <t>Realizar 2000 demarcaciones anuales en el cantón central de Heredia.                 -Realizar la demarcación de 30000 metros lineales anuales en el cantón central de Heredia.</t>
  </si>
  <si>
    <t>Enlazar el 10% las bases de datos de la E.S.P.H. y la del Municipio durante el año 2012</t>
  </si>
  <si>
    <t>Solicitar al departamento de Cómputo la inclusión de la variable sexo en la  base de datos del módulo de Recusos Humanos del Sistema Integrado. (7.2.2.1)         Realizar un diagnóstico para mejorar las bases de datos existentes en todos los departamentos de la Municipalidad incorporando la variable sexo.     - Segregar la base de datos incorporando la variable sexo</t>
  </si>
  <si>
    <t>Divulgar de manera permanente a las comunidades sobre los tramites que realiza la municipalidad</t>
  </si>
  <si>
    <t>Continuar con la actualización y revaloración de los activos institucionales</t>
  </si>
  <si>
    <t>Implementar la recepcion de garantias mediante depositos electronicos y otros mecanismos virtuales</t>
  </si>
  <si>
    <t>Dar continuidad y finiquitar el proceso de pagos por medios electronicos</t>
  </si>
  <si>
    <t>implementar un Sistema de Seguimiento y Control del Plan de Desarrollo Municipal</t>
  </si>
  <si>
    <t xml:space="preserve">Desarrollar un taller de sensibilización y capacitación para la elaboración de proyectos con enfoque de género, derechos humanos y accesibilidad universal.              -Coordinar  el proceso de Presupuesto Participativo para la asignación de recursos para el año 2013               -Coordinar con la Oficina de la Mujer una capacitación de las Asociaciones de Desarrollo y Concejos de Distrito en temas de elaboración de proyectos con perspectiva de género. </t>
  </si>
  <si>
    <t>Realizar las acciones pertinentes para adquirir y poner en funcionamiento el Sistema de grabación con video.</t>
  </si>
  <si>
    <t>Realizar las acciones pertinentes para adquirir y poner en funcionamiento un Sistema de firma digital.</t>
  </si>
  <si>
    <t xml:space="preserve">Construcción de 1000 metros de cordó y caño
Suministro de materiales y construcción de 2950 metros de cordón y cano en varios lugares del cantón central de Heredia. </t>
  </si>
  <si>
    <t>Construcción de un corredor accesible entre centros de salud educacacion , mercado entre otros.</t>
  </si>
  <si>
    <t>Elaboracion del Plan Integral de Residuos Sólidos Cantonal
Diseño y Construcción del Centro de Acopio</t>
  </si>
  <si>
    <t>Remodelacion de Oficina del Servicio de Recolección de basura y Taller Mecanico en el Plantel Municipal.
Elaboración y pintado del Mural denominado"Alegoría Herediana"</t>
  </si>
  <si>
    <t>Instalacion de 5 Mini-Gimansios en varias areas publicas del Canton Central de Heredia.</t>
  </si>
  <si>
    <t>Suministro, acarreo, colocación y acabado final de carpetas asfálticos en distintos lugares del Cantón  con el fin de cubrir 12 km.</t>
  </si>
  <si>
    <t>Girar  ¢38,811,736,00  a Juntas de Educación y Administrativas de Escuelas y Colegios para la ejecución de proyectos de interés de las comunidades.</t>
  </si>
  <si>
    <t>PLAN DE DESARROLLO LARGO PLAZO</t>
  </si>
  <si>
    <t>GESTION AMBIENTAL Y ORDENAMIENTO TERRITORIAL</t>
  </si>
  <si>
    <t>Lograr el ordenamiento territorial y desarrollo urbano sostenible del cantón primero Heredia.</t>
  </si>
  <si>
    <t>Un Plan de Ordenamiento Territorial y un Plan Regulador aprobados a diciembre de 2013 y en implementación a partir de enero 2014 (Supeditado a la aprobación del Plan Regional).</t>
  </si>
  <si>
    <t>Un plan de comunicación sobre el Plan de Ordenamiento Territorial y Plan Regulador formulado a diciembre 2013 y en implementación a partir de enero 2014. (Supeditado a la aprobación del Plan Regional)</t>
  </si>
  <si>
    <t>INICIO</t>
  </si>
  <si>
    <t>FINAL</t>
  </si>
  <si>
    <t>DIRECCION OPERACIONES</t>
  </si>
  <si>
    <t>INSTRUMENTOS PLANIFICACION</t>
  </si>
  <si>
    <t>PERIODO 2012-2022</t>
  </si>
  <si>
    <t xml:space="preserve">Al menos el 10% anual de la población adulta del cantón tiene conocimiento del plan de ordenamiento territorial cantonal. </t>
  </si>
  <si>
    <t>La huella constructiva no supera los 0,208 km2 construidos anualmente a partir de la aprobación del Plan Regulador.</t>
  </si>
  <si>
    <t>PLAN DE DESARROLLO MUNICIPAL MEDIANO PLAZO</t>
  </si>
  <si>
    <t>INVERSION PUBLICA</t>
  </si>
  <si>
    <t>Formular e implementar un plan de mantenimiento, mejoramiento, habilitación y embellecimiento de la infraestructura pública municipal.</t>
  </si>
  <si>
    <t>Un inventario anual de áreas públicas municipales por distrito realizado a partir de 2012.</t>
  </si>
  <si>
    <t>Un Plan Maestro de alcantarillado pluvial  municipal realizado a diciembre de 2022.</t>
  </si>
  <si>
    <t>Dirección Operativa y Dirección de Servicios (Tributación y Catastro)</t>
  </si>
  <si>
    <t>Dirección Operativa</t>
  </si>
  <si>
    <t>Al menos 3000 metros lineales del sistema de alcantarillado pluvial intervenido anualmente a partir de enero 2012.</t>
  </si>
  <si>
    <t>Al menos 2 áreas públicas intervenidas anualmente a partir de enero de 2012.</t>
  </si>
  <si>
    <t xml:space="preserve">Formular e implementar un Plan de Gestión Vial. </t>
  </si>
  <si>
    <t>Un Plan Quinquenal de Red Vial Cantonal, formulado y aprobado a diciembre 2012 y en implementación a partir de enero 2013.</t>
  </si>
  <si>
    <t>Un Plan de Gestión Vial formulado y aprobado a diciembre de 2013 y en implementación a partir de enero 2014.</t>
  </si>
  <si>
    <t>Un Plan de Gestión de Riesgos Naturales y Sociales formulado y aprobado a diciembre de 2013 y en implementación a partir de enero de 2014.</t>
  </si>
  <si>
    <t>Una línea base e inventario de áreas vulnerables realizado a julio 2013.</t>
  </si>
  <si>
    <t>Una comisión de gestión de riesgo local por distrito conformada a diciembre 2012 y en operación a partir de enero 2013.</t>
  </si>
  <si>
    <t>Un programa de formación de capacidades en gestión de riesgos locales formulado a julio 2013 y en implementación a partir de agosto 2013.</t>
  </si>
  <si>
    <t>Al menos 50 personas capacitadas (10 por distrito) en gestión de riesgos locales a julio 2014.</t>
  </si>
  <si>
    <t>Formular y ejecutar el Plan de Gestión de Riesgos Naturales y Sociales.</t>
  </si>
  <si>
    <t>Un Plan Cantonal de Manejo de Residuos Sólidos formulado y aprobado al 30 de junio de 2013 y en implementación a partir de julio 2014.</t>
  </si>
  <si>
    <t>Elaborar e implementar un Plan Cantonal de Manejo de Residuos Sólidos.</t>
  </si>
  <si>
    <t xml:space="preserve">Dirección Operativa (Coordinación) </t>
  </si>
  <si>
    <t>Fomentar un programa de recuperación de los ecosistemas naturales de las áreas de protección de ríos y áreas públicas del Cantón de Heredia.</t>
  </si>
  <si>
    <t>Un Plan de trabajo conjunto entre la Municipalidad y demás sectores relacionados formulado al 30 junio de 2012.</t>
  </si>
  <si>
    <t>Un Programa de protección de ríos y áreas públicas ubicadas en el Cantón de Heredia, con especies 100% nativas, en implementación a partir de diciembre 2012.</t>
  </si>
  <si>
    <t>Recuperados 25 km de zonas de protección de ríos y áreas públicas ubicadas en el Cantón de Heredia, en un plazo de 10 años a partir de mayo de 2013.</t>
  </si>
  <si>
    <t>Inventariar y gestionar soluciones para los focos de contaminación hídrica, atmosférica y visual del Cantón de Heredia</t>
  </si>
  <si>
    <t>Un Inventario de focos de contaminación hídrica, atmosférica y visual del Cantón de Heredia, coordinado con las diferentes instancias relacionadas a diciembre de 2013.</t>
  </si>
  <si>
    <t>Un Programa de saneamiento ambiental, con alcance en los aspectos hídricos; estudios concluidos al 2016, implementado a partir de julio de 2017.</t>
  </si>
  <si>
    <t>Un plan de acción para mitigación de los focos contaminación del Cantón de Heredia, diseñado a marzo de 2014 y en implementación  a partir de setiembre de 2014.</t>
  </si>
  <si>
    <t>Reducidos los focos de contaminación por gases en un 25% a diciembre de 2022.</t>
  </si>
  <si>
    <t>Un Reglamento para la normalización y homogenización de la rotulación en el Cantón de Heredia, diseñado y aprobado a diciembre de 2013 y en implementación a partir de enero de 2014</t>
  </si>
  <si>
    <t>Desarrollar un programa de comunicación y sensibilización en temas ambientales en la población del Cantón de Heredia.</t>
  </si>
  <si>
    <t>Un programa de comunicación y sensibilización en temas ambientales formulado a marzo 2013 e iniciado a mayo 2013.</t>
  </si>
  <si>
    <t>Al menos un 25% de la población del cantón toma conciencia de la importancia de los temas ambientales al tercer año de implementado el programa de comunicación y sensibilización.</t>
  </si>
  <si>
    <t>DESARROLLO ECONOMICO SOSTENIBLE</t>
  </si>
  <si>
    <t>Promover la creación de polos de desarrollo cantonal.</t>
  </si>
  <si>
    <t>Una estrategia para la promoción de un polo de desarrollo diseñada a diciembre de 2013 y en implementación a partir de enero 2014.</t>
  </si>
  <si>
    <t>Una alianza con al menos una institución pública y una cámara empresarial para la promoción de un polo de desarrollo lograda a  diciembre 2013.</t>
  </si>
  <si>
    <t>Al menos una acción de promoción para la creación de un polo de desarrollo ejecutada anualmente a partir de enero de 2014</t>
  </si>
  <si>
    <t>Alcaldía (Coordinación), RRHH</t>
  </si>
  <si>
    <t>Alcaldía,  RRHH</t>
  </si>
  <si>
    <t xml:space="preserve"> Formular y gestionar un programa de impulso del emprendedurismo local</t>
  </si>
  <si>
    <t>Un programa de impulso al emprendedurismo local formulado y aprobado a diciembre del 2013 y en implementación de enero 2014 a diciembre 2022.</t>
  </si>
  <si>
    <t>Un programa de fortalecimiento del Campo Ferial en Mercedes Norte, dirigido al desarrollo de capacidades del "Mercado de personas emprendedoras" formulado a diciembre 2013 y en implementación a partir de enero del 2014.</t>
  </si>
  <si>
    <t>Una alianza público privada constituida para liderar un programa de impulso de emprendedurismo local a junio 2014.</t>
  </si>
  <si>
    <t>Al menos una gestión anual de recursos no reembolsables para apoyar un programa de impulso de emprendedurismo local realizada a partir de enero 2012.</t>
  </si>
  <si>
    <t>Alcaldía (Coordinación), Dirección de Servicios y Gestión de Ingresos, RHH</t>
  </si>
  <si>
    <t>Impulsar la reactivación de los sectores dinámicos del aparato económico local.</t>
  </si>
  <si>
    <t>Un plan de reactivación de sectores dinámicos del aparato económico local formulado y aprobado a diciembre del 2016, y en implementación a partir de enero de 2017 a diciembre 2022.</t>
  </si>
  <si>
    <t>Desarrollar programas deportivos, culturales y recreativos.</t>
  </si>
  <si>
    <t>Un programa integral de desarrollo deportivo, cultural y recreativo aprobado al 31 de diciembre de 2012.</t>
  </si>
  <si>
    <t>Un convenio de coordinación para promoción de desarrollo deportivo de bajo impacto, cultural y recreativo formalizado con el ICODER y con la UNA a junio 2013.</t>
  </si>
  <si>
    <t>Al menos 2 actividades deportivas masivas-no comerciales- anuales realizadas en los distritos del cantón central, a partir de enero 2012.</t>
  </si>
  <si>
    <t>Al menos 25 personas participan bimestralmente en actividades deportivas de bajo rendimiento en los distritos del cantón.</t>
  </si>
  <si>
    <t>Vice-alcaldía</t>
  </si>
  <si>
    <t>Coordinar programas para mejorar hábitos de alimentación de la comunidad.</t>
  </si>
  <si>
    <t>Un programa integral de mejoramiento de hábitos de alimentación  aprobado al 31 de diciembre de 2012.</t>
  </si>
  <si>
    <t>Al menos 25 personas participan bimestralmente en los programas de vida saludable y prevención de la salud en coordinación con la CCSS, a parir de julio 2012.</t>
  </si>
  <si>
    <t>Un convenio formalizado con el MEP para la educación en salud preventiva a las comunidades del cantón de Heredia, a diciembre 2012.</t>
  </si>
  <si>
    <t>Al menos 25 personas participan bimestralmente en los programas de educación en vida saludable en coordinación con el MEP, a parir de enero 2013.</t>
  </si>
  <si>
    <t>Formular e impulsar una propuesta cantonal que promueva la optimización del sistema de acceso a la salud pública.</t>
  </si>
  <si>
    <t>Una propuesta cantonal que promueva la optimización del sistema de acceso a la salud pública, aprobada por las diferentes Entidades responsables del tema al 31 de diciembre de 2013.</t>
  </si>
  <si>
    <t>Al menos 25 personas participan bimestralmente en los programas de educación para el acceso a la salud pública en coordinación con la CCSS y el Ministerio de Salud, a parir de julio 2012.</t>
  </si>
  <si>
    <t>SEGURIDAD  CIUDADANA</t>
  </si>
  <si>
    <t>SERVICIOS PUBLICOS</t>
  </si>
  <si>
    <t>DESARROLLO Y GESTION INSTITUCIONAL</t>
  </si>
  <si>
    <t>Formular e impulsar políticas de seguridad cantonal para que sean de conocimiento y aplicación de todos los habitantes.</t>
  </si>
  <si>
    <t>SEGURIDAD CIUDADANA</t>
  </si>
  <si>
    <t>Una política integral de seguridad cantonal formulada y aprobada por todas las Entidades relacionadas a diciembre de 2013.</t>
  </si>
  <si>
    <t>Un estudio que identifique las zonas de mayor incidencia delictiva para cada unos de los distritos a diciembre de 2012.</t>
  </si>
  <si>
    <t>Un plan de comunicación y educación a la población para la aplicación de la política de seguridad cantonal implementada a partir de junio 2014.</t>
  </si>
  <si>
    <t>Se constituye al menos un Comité de Barrios Organizados de "Ojos y oídos" contra la delincuencia, por distrito, por semestre, a partir de enero de 2013.</t>
  </si>
  <si>
    <t>Al menos 11 charlas sobre seguridad comunitaria impartidas por distrito, por semestre, a partir de enero 2012.</t>
  </si>
  <si>
    <t>Al menos 15 personas graduadas en seguridad ciudadana por distrito, por semestre, a partir de junio 2012.</t>
  </si>
  <si>
    <t>Un plan integral de programas preventivos en materia de seguridad, formulado y aprobado por las entidades relacionadas a diciembre 2013.</t>
  </si>
  <si>
    <t>Fomentar la coordinación de programas preventivos y correctivos en materia de seguridad con instituciones públicas, entidades privadas y grupos organizados de la sociedad civil.</t>
  </si>
  <si>
    <t>Al menos 20  cámaras de seguridad instaladas y distribuidas en las zonas de mayor incidencia delictiva, por semestre a partir de enero de 2014, hasta 2017. (A partir de constituida la Empresa Seguridad Digital)</t>
  </si>
  <si>
    <t>Un plan integral de infraestructura en materia de seguridad, formulado y aprobado por las entidades relacionadas a junio 2014.</t>
  </si>
  <si>
    <t>Al menos el 25% de los policías municipales fortalecen su capacidad técnica y operativa por medio de capacitaciones especializadas, semestralmente a partir de enero de 2013.</t>
  </si>
  <si>
    <t>Ampliar la cobertura del sistema de vigilancia ciudadana.</t>
  </si>
  <si>
    <t>Un plan integral en materia de atención a las adicciones y prevención social,  formulado y aprobado por las entidades relacionadas a diciembre de 2014 e implementado a partir de enero de 2015.</t>
  </si>
  <si>
    <t>Un Centro de Desintoxicación construido e implementado a partir del enero de 2018.</t>
  </si>
  <si>
    <t>Un albergue para la atención de personas en estado de indigencia construido e implementado a diciembre de 2019.</t>
  </si>
  <si>
    <t>Formular e impulsar un programa de atención integral para el combate a las adicciones y el rescate  social de personas en condición de indigencia y con problemas de adicción.</t>
  </si>
  <si>
    <t>Vice-alcaldía (Coordinación) la Policía Municipal</t>
  </si>
  <si>
    <t>Un plan de mejoramiento y mantenimiento de la infraestructura de los Centros Educativos del Cantón formulado a diciembre 2013.</t>
  </si>
  <si>
    <t>Al menos un Centro Educativo por año, es intervenido integralmente para recuperar y/o mejorar su infraestructura física, a partir de enero de 2014.</t>
  </si>
  <si>
    <t xml:space="preserve">Al menos una Biblioteca Virtual instalada y funcionando por distrito cada dos años a partir de enero </t>
  </si>
  <si>
    <t>Coordinar con el Ministerio de Educación Pública el mejoramiento de la infraestructura de escuelas y colegios del cantón.</t>
  </si>
  <si>
    <t>Un plan integral de programas preventivos para evitar la deserción estudiantil, el acoso escolar y la prevención del embarazó en adolecentes, aprobado por las Entidades relacionadas a diciembre de 2013.</t>
  </si>
  <si>
    <t>Crear una comisión interinstitucional constituida para enfrentar la deserción y reprobación estudiantil, constituida a partir de enero de 2013.</t>
  </si>
  <si>
    <t>Se crea al menos un  centro de recuperación de estudiantes rezagados el Cantón y en cada uno de los Distritos con apoyo de estudiantes de TCU de Escuelas de Formación Docente y  maestros y profesores pensionados, a partir de 2017.</t>
  </si>
  <si>
    <t>Al menos un Colegio Público con enseñanza 100% bilingüe y con bachillerato internacional, a diciembre de 2020.</t>
  </si>
  <si>
    <t>Propiciar y Coordinar la implementación de programas de educación vocacional, emprendedurismo y gestión empresarial.</t>
  </si>
  <si>
    <t>Un plan integral de programas de educación vocacional, emprendedurismo y gestión empresarial, aprobado por las Entidades relacionadas e incorporado a la curricula de Colegios Vocacionales del Cantón de Heredia a diciembre  de 2015.</t>
  </si>
  <si>
    <t>Incremento del 10% del número de cursos vocacionales, emprendedurismo y gestión empresarial, incorporados en la curricula de las escuelas y colegios vocacionales del Cantón Central a partir de enero de 2016.</t>
  </si>
  <si>
    <t>Incremento del 10% del número de cursos de gestión empresarial brindados a emprendedores y mipymes del Cantón Central por instituciones relacionadas, a partir de enero de 2014</t>
  </si>
  <si>
    <t>Desarrollar Políticas, estrategias y programas de dotación y desarrollo del talento humano.</t>
  </si>
  <si>
    <t>Dpto. Recursos Humanos</t>
  </si>
  <si>
    <t>Al menos una política de desarrollo del talento humano diseñada y en implementación a diciembre de 2012.</t>
  </si>
  <si>
    <t>Al menos una estrategia y programa de dotación y desarrollo del talento humano formulados y en operación a partir de enero de 2013.</t>
  </si>
  <si>
    <t>Al menos 10% del RRHH Municipal capacitado y/o motivado anualmente como resultado de las políticas, estrategias y programas implementados, a partir de enero 2013.</t>
  </si>
  <si>
    <t>Un estudio de Clima Organización realizado a setiembre de 2012.</t>
  </si>
  <si>
    <t>Un estudio de cargas de trabajo y productividad realizado a setiembre de 2012.</t>
  </si>
  <si>
    <t>Un programa de optimización de procesos realizado al 30 de agosto de 2013.</t>
  </si>
  <si>
    <t>Al menos el 10% de los macro-procesos de la gestión municipal optimizados a agosto 2013.</t>
  </si>
  <si>
    <t>Un programa de simplificación de trámites y requisitos implementado en la Municipalidad a diciembre 2013</t>
  </si>
  <si>
    <t>Implementar programa de optimización de procesos y simplificación de trámites y requisitos de la gestión municipal.</t>
  </si>
  <si>
    <t>Aumentados los Ingresos reales tributarios municipales en un 1% anual a partir de enero 2013.</t>
  </si>
  <si>
    <t>Una base de datos actualizada y depurada  a partir de diciembre de  2012.</t>
  </si>
  <si>
    <t>Reducida la morosidad en el pago de tributos municipales en un1% anual a partir de diciembre de 2013.</t>
  </si>
  <si>
    <t>Implementar un programa efectivo de recaudación de impuestos municipales y gestión de cobro que genere recursos financieros suficientes para cubrir servicios de apoyo al plan de desarrollo de la Municipalidad de Heredia.</t>
  </si>
  <si>
    <t>Dirección Financiera y Gestión de Cobro</t>
  </si>
  <si>
    <t xml:space="preserve">Un Sistema Informático Integrado Municipal en implementación a partir de junio de 2012.  </t>
  </si>
  <si>
    <t>Un sistema de información gerencial en implementación efectiva a partir de enero 2014.</t>
  </si>
  <si>
    <t>El sistema de información genera mensualmente los reportes de gestión contable y presupuestaria a los 8 días una vez finalizado cada periodo de gestión mensual.</t>
  </si>
  <si>
    <t>Un sistema de información geográfica, implementado a partir de diciembre de 2017.</t>
  </si>
  <si>
    <t>Direcciones Municipales</t>
  </si>
  <si>
    <t>Fortalecer el sistema de información y comunicación Municipal.</t>
  </si>
  <si>
    <t>Fortalecer los vínculos y alianzas estratégicas de la municipalidad con otros entes públicos y privados.</t>
  </si>
  <si>
    <t>Al menos una nueva alianza anual establecida formalmente con un ente público o privado a partir de enero 2012.</t>
  </si>
  <si>
    <t>Lograr el fortalecimiento institucional de la Municipalidad de Heredia que le permita asumir el liderazgo en el desarrollo del Cantón de Heredia</t>
  </si>
  <si>
    <t>OBJETIVO ESTRATEGICO</t>
  </si>
  <si>
    <t>Promover la gestión ambiental y el mejoramiento continuo de la calidad de vida de los heredianos</t>
  </si>
  <si>
    <t>Lograr el ordenamiento territorial y desarrollo urbano sostenible del cantón primero de Heredia</t>
  </si>
  <si>
    <t>Fortalecer la seguridad ciudadana del Cantón Primero de Heredia mediante un programa integral de prevención y atención</t>
  </si>
  <si>
    <t>Propiciar el desarrollo económico local en los distritos del Cantón Primero de Heredia</t>
  </si>
  <si>
    <t>Mejorar la calidad de la salud de los habitantes del Cantón Primero de Heredia mediante un programa salud preventiva y reactiva</t>
  </si>
  <si>
    <t>Coordinar con instituciones educativas, públicas y privadas, el desarrollo de programas preventivos para evitar la deserción estudiantil, el acoso escolar y la prevención del embarazo en adolecentes.</t>
  </si>
  <si>
    <t>Mejorar la calidad de la educación a través de infraestructura adecuada y programas especializados</t>
  </si>
  <si>
    <t>set- 2012</t>
  </si>
  <si>
    <t>Un convenio formalizado con la CCSS para la vida saludable y prevención de la salud a junio 2012.</t>
  </si>
  <si>
    <t>Un Plan de Comunicación sobre el Plan Regulador, formulado a diciembre de 2013 y en implementación a partir de enero de 2014.</t>
  </si>
  <si>
    <t>Un Plan Regulador del Cantón de Heredia aprobado a diciembre de 2013</t>
  </si>
  <si>
    <t>Un Plan de Gestión Vial, formulado y aprobado a diciembre de 2013 y en implementación a partir de enero 2014</t>
  </si>
  <si>
    <t>Un Plan Quinquenal de Red Vial, formulado y aprobado a diciembre de 2012 y en implementación a partir de enero de 2013</t>
  </si>
  <si>
    <t>DIRECCION OPERACIONES (AMBIENTE)</t>
  </si>
  <si>
    <r>
      <t>Un Plan Municipal para la gestión de integral de residuos sólidos, formulado y aprobado al 30 de junio de 2013 y en implementación a partir de julio de 201</t>
    </r>
    <r>
      <rPr>
        <b/>
        <sz val="10"/>
        <rFont val="Arial"/>
        <family val="2"/>
      </rPr>
      <t>3</t>
    </r>
  </si>
  <si>
    <t>PLAN DE DESARROLLO MEDIANO PLAZO</t>
  </si>
  <si>
    <t>Dirección Operativa, Ambiente</t>
  </si>
  <si>
    <t>DIRECCION OPERACIONES, AMBIENTE</t>
  </si>
  <si>
    <r>
      <t>1.4.1.</t>
    </r>
    <r>
      <rPr>
        <sz val="7"/>
        <rFont val="Times New Roman"/>
        <family val="1"/>
      </rPr>
      <t xml:space="preserve">        </t>
    </r>
    <r>
      <rPr>
        <sz val="11"/>
        <rFont val="Calibri"/>
        <family val="2"/>
        <scheme val="minor"/>
      </rPr>
      <t>Cumplir con el Plan Regulador  del cantón Central de Heredia.</t>
    </r>
  </si>
  <si>
    <r>
      <t>1.4.2.</t>
    </r>
    <r>
      <rPr>
        <sz val="7"/>
        <rFont val="Times New Roman"/>
        <family val="1"/>
      </rPr>
      <t xml:space="preserve">        </t>
    </r>
    <r>
      <rPr>
        <sz val="11"/>
        <rFont val="Calibri"/>
        <family val="2"/>
        <scheme val="minor"/>
      </rPr>
      <t>Elaborar el Plan Regulador de Vara Blanca.</t>
    </r>
  </si>
  <si>
    <r>
      <t>1.4.3.</t>
    </r>
    <r>
      <rPr>
        <sz val="7"/>
        <rFont val="Times New Roman"/>
        <family val="1"/>
      </rPr>
      <t xml:space="preserve">        </t>
    </r>
    <r>
      <rPr>
        <sz val="11"/>
        <rFont val="Calibri"/>
        <family val="2"/>
        <scheme val="minor"/>
      </rPr>
      <t>Ampliar y mantener  la rotulación vial y rotulación vertical de ordenamiento postal</t>
    </r>
  </si>
  <si>
    <r>
      <rPr>
        <sz val="11"/>
        <rFont val="Calibri"/>
        <family val="2"/>
      </rPr>
      <t>UAEG</t>
    </r>
    <r>
      <rPr>
        <sz val="11"/>
        <rFont val="Calibri"/>
        <family val="2"/>
        <scheme val="minor"/>
      </rPr>
      <t xml:space="preserve"> y Unidad Administrativa responsable de Desarrollo Social, </t>
    </r>
    <r>
      <rPr>
        <sz val="11"/>
        <rFont val="Calibri"/>
        <family val="2"/>
      </rPr>
      <t>Departamento de Recursos Humanos.</t>
    </r>
  </si>
  <si>
    <r>
      <t>Alcaldía, Presupuesto, Dirección Finanaciera-Adminitrativa. Comunicación y prensa,  INA, UNA, UCR.</t>
    </r>
    <r>
      <rPr>
        <sz val="11"/>
        <rFont val="Calibri"/>
        <family val="2"/>
      </rPr>
      <t xml:space="preserve"> Recursos Humanos</t>
    </r>
  </si>
  <si>
    <r>
      <t>Alcaldía, Presupuesto, Dirección Financiera-Administrativa. Comunicación y prensa,  INA, UNA, UCR. Empresas privadas.</t>
    </r>
    <r>
      <rPr>
        <sz val="11"/>
        <rFont val="Calibri"/>
        <family val="2"/>
      </rPr>
      <t xml:space="preserve"> Recursos Humanos</t>
    </r>
  </si>
  <si>
    <r>
      <rPr>
        <sz val="11"/>
        <rFont val="Calibri"/>
        <family val="2"/>
      </rPr>
      <t>Departamento de Recursos Humanos</t>
    </r>
    <r>
      <rPr>
        <sz val="11"/>
        <rFont val="Calibri"/>
        <family val="2"/>
        <scheme val="minor"/>
      </rPr>
      <t>, UAEG</t>
    </r>
  </si>
  <si>
    <r>
      <t xml:space="preserve">Mercado Municipal, </t>
    </r>
    <r>
      <rPr>
        <sz val="11"/>
        <rFont val="Calibri"/>
        <family val="2"/>
      </rPr>
      <t>Departamento de Rentas y Cobranzas</t>
    </r>
    <r>
      <rPr>
        <sz val="11"/>
        <rFont val="Calibri"/>
        <family val="2"/>
        <scheme val="minor"/>
      </rPr>
      <t>, Comisión del Mercado, Intermediación Laboral,</t>
    </r>
    <r>
      <rPr>
        <sz val="11"/>
        <rFont val="Calibri"/>
        <family val="2"/>
      </rPr>
      <t xml:space="preserve"> Departamento de Cómputo</t>
    </r>
  </si>
  <si>
    <r>
      <rPr>
        <sz val="11"/>
        <rFont val="Calibri"/>
        <family val="2"/>
      </rPr>
      <t>UAEG</t>
    </r>
    <r>
      <rPr>
        <sz val="11"/>
        <rFont val="Calibri"/>
        <family val="2"/>
        <scheme val="minor"/>
      </rPr>
      <t>, Departamento de</t>
    </r>
    <r>
      <rPr>
        <sz val="11"/>
        <rFont val="Calibri"/>
        <family val="2"/>
      </rPr>
      <t xml:space="preserve"> Recursos Humanos</t>
    </r>
    <r>
      <rPr>
        <sz val="11"/>
        <rFont val="Calibri"/>
        <family val="2"/>
        <scheme val="minor"/>
      </rPr>
      <t>, Red de Atención Prevención de la Violencia, Policía Municipal y Fuerza Pública</t>
    </r>
  </si>
  <si>
    <r>
      <rPr>
        <sz val="11"/>
        <rFont val="Calibri"/>
        <family val="2"/>
      </rPr>
      <t>UAEG</t>
    </r>
    <r>
      <rPr>
        <sz val="11"/>
        <rFont val="Calibri"/>
        <family val="2"/>
        <scheme val="minor"/>
      </rPr>
      <t>, Unidad Administrativa responsable de Desarrollo Social,</t>
    </r>
  </si>
  <si>
    <r>
      <rPr>
        <sz val="11"/>
        <rFont val="Calibri"/>
        <family val="2"/>
      </rPr>
      <t>UAEG</t>
    </r>
    <r>
      <rPr>
        <sz val="11"/>
        <rFont val="Calibri"/>
        <family val="2"/>
        <scheme val="minor"/>
      </rPr>
      <t xml:space="preserve">, Unidad responsable de Comunicación Interna y Externa, </t>
    </r>
    <r>
      <rPr>
        <sz val="11"/>
        <rFont val="Calibri"/>
        <family val="2"/>
      </rPr>
      <t>Departamento de Cómputo</t>
    </r>
  </si>
  <si>
    <r>
      <rPr>
        <sz val="11"/>
        <rFont val="Calibri"/>
        <family val="2"/>
      </rPr>
      <t>UAEG</t>
    </r>
    <r>
      <rPr>
        <sz val="11"/>
        <rFont val="Calibri"/>
        <family val="2"/>
        <scheme val="minor"/>
      </rPr>
      <t xml:space="preserve">, Departamento de </t>
    </r>
    <r>
      <rPr>
        <sz val="11"/>
        <rFont val="Calibri"/>
        <family val="2"/>
      </rPr>
      <t>Recursos Humanos</t>
    </r>
    <r>
      <rPr>
        <sz val="11"/>
        <rFont val="Calibri"/>
        <family val="2"/>
        <scheme val="minor"/>
      </rPr>
      <t xml:space="preserve">, Intermediación Laboral, Unidad responsable de comunicación interna y externa, 
UAEG, Departamento de Recursos Humanos, Intermediación Laboral, Unidad responsable de comunicación interna y externa, 
</t>
    </r>
  </si>
  <si>
    <r>
      <rPr>
        <sz val="11"/>
        <rFont val="Calibri"/>
        <family val="2"/>
      </rPr>
      <t>UAEG</t>
    </r>
    <r>
      <rPr>
        <sz val="11"/>
        <rFont val="Calibri"/>
        <family val="2"/>
        <scheme val="minor"/>
      </rPr>
      <t xml:space="preserve">, Departamento de </t>
    </r>
    <r>
      <rPr>
        <sz val="11"/>
        <rFont val="Calibri"/>
        <family val="2"/>
      </rPr>
      <t>Recursos Humanos</t>
    </r>
    <r>
      <rPr>
        <sz val="11"/>
        <rFont val="Calibri"/>
        <family val="2"/>
        <scheme val="minor"/>
      </rPr>
      <t xml:space="preserve">, Intermediación Laboral, Unidad responsable de comunicación interna y externa, 
</t>
    </r>
  </si>
  <si>
    <r>
      <t xml:space="preserve">Departamento de Tributación y Catastro, </t>
    </r>
    <r>
      <rPr>
        <sz val="11"/>
        <rFont val="Calibri"/>
        <family val="2"/>
      </rPr>
      <t>Rentas y Cobranzas</t>
    </r>
    <r>
      <rPr>
        <sz val="11"/>
        <rFont val="Calibri"/>
        <family val="2"/>
        <scheme val="minor"/>
      </rPr>
      <t>, Ingeniería y otras unidades que brindan servicios</t>
    </r>
  </si>
  <si>
    <r>
      <t xml:space="preserve">Comisión Accesibilidad, </t>
    </r>
    <r>
      <rPr>
        <sz val="11"/>
        <rFont val="Calibri"/>
        <family val="2"/>
      </rPr>
      <t>Oficina de la Mujer</t>
    </r>
    <r>
      <rPr>
        <sz val="11"/>
        <rFont val="Calibri"/>
        <family val="2"/>
        <scheme val="minor"/>
      </rPr>
      <t xml:space="preserve">, Planificación, </t>
    </r>
    <r>
      <rPr>
        <sz val="11"/>
        <rFont val="Calibri"/>
        <family val="2"/>
      </rPr>
      <t>Contraloría Servicios</t>
    </r>
  </si>
  <si>
    <r>
      <t xml:space="preserve">Comisión Accesibilidad, </t>
    </r>
    <r>
      <rPr>
        <sz val="11"/>
        <rFont val="Calibri"/>
        <family val="2"/>
      </rPr>
      <t>Recursos Humanos</t>
    </r>
  </si>
  <si>
    <r>
      <t>Comisión Accesibilidad, Depto. De Ingeniería y</t>
    </r>
    <r>
      <rPr>
        <sz val="11"/>
        <rFont val="Calibri"/>
        <family val="2"/>
      </rPr>
      <t xml:space="preserve"> Depto. Rentas y Cobranzas</t>
    </r>
  </si>
  <si>
    <r>
      <rPr>
        <sz val="11"/>
        <rFont val="Calibri"/>
        <family val="2"/>
      </rPr>
      <t>Rentas y Cobranzas</t>
    </r>
    <r>
      <rPr>
        <sz val="11"/>
        <rFont val="Calibri"/>
        <family val="2"/>
        <scheme val="minor"/>
      </rPr>
      <t>, Dirección Operaciones</t>
    </r>
  </si>
  <si>
    <t>Programa creado</t>
  </si>
  <si>
    <t xml:space="preserve">1.2.2.Programa de Comunicación y Sensibilización  en temas ambientales </t>
  </si>
  <si>
    <t>1.2.2.1.Crear un  programa de comunicación y sensibilización en temas ambientales formulado a marzo 2013</t>
  </si>
  <si>
    <t>Plan creado</t>
  </si>
  <si>
    <t>Unidad de ambiente</t>
  </si>
  <si>
    <t xml:space="preserve">1.3.5. Plan de trabajo conjunto entre la Municipalidad y demás sectores relacionados </t>
  </si>
  <si>
    <t>1.3.6.Programa de protección de ríos y áreas Públicas ubicadas en el Cantón.</t>
  </si>
  <si>
    <t>1.3.5.1. Crear un  Plan de trabajo conjunto entre la Municipalidad y demás sectores relacionados formulado al 30 junio de 2012.</t>
  </si>
  <si>
    <t>1.3.6.1. Crear un Programa de protección de ríos y áreas Públicas ubicadas en el Cantón.</t>
  </si>
  <si>
    <t>Inventario realizado</t>
  </si>
  <si>
    <t>Programa de saneamiento ambiental, con alcance en los aspectos hídricos; estudios concluidos al 2016.</t>
  </si>
  <si>
    <t>Implementación realizada</t>
  </si>
  <si>
    <t>Reglamento deseñado y aprobdo</t>
  </si>
  <si>
    <t xml:space="preserve">Plan de comunicación sobre el Plan de Ordenamiento Territorial y Plan Regulador </t>
  </si>
  <si>
    <t>Plan formulado</t>
  </si>
  <si>
    <t>Plan implementado</t>
  </si>
  <si>
    <t>Plan de Gestión de Riesgos Naturales y Sociales.</t>
  </si>
  <si>
    <t>Plan formulado y aprobado</t>
  </si>
  <si>
    <t>Línea base realizada</t>
  </si>
  <si>
    <t>comisón creada</t>
  </si>
  <si>
    <t>Comisión en funcionamiento</t>
  </si>
  <si>
    <t>Políticas, estrategias y programas de dotación y desarrollo del talento humano.</t>
  </si>
  <si>
    <t>Politica implementada</t>
  </si>
  <si>
    <t>Politica diseñada</t>
  </si>
  <si>
    <t>Direcciones y Jefaturas</t>
  </si>
  <si>
    <t>3.3.Desarrollo Sistemático del Proceso de Valoración de Riesgos totalmente integrado a la Planificación Institucional</t>
  </si>
  <si>
    <t>Estrategia   y programa implementado</t>
  </si>
  <si>
    <t>Estrategia   y programa formulado</t>
  </si>
  <si>
    <t>Programa realizado</t>
  </si>
  <si>
    <t>Acción realizada</t>
  </si>
  <si>
    <t>No. personas graduadas</t>
  </si>
  <si>
    <t>Policia Municipal</t>
  </si>
  <si>
    <t xml:space="preserve">Política integral de seguridad cantonal </t>
  </si>
  <si>
    <t>Política formulada y aprobada</t>
  </si>
  <si>
    <t xml:space="preserve">Estudio que identifique las zonas de mayor incidencia delictiva para cada unos de los distritos </t>
  </si>
  <si>
    <t xml:space="preserve">Plan de comunicación y educación a la población para la aplicación de la política de seguridad cantonal </t>
  </si>
  <si>
    <t>Plan realizado</t>
  </si>
  <si>
    <t>MEP;Poder Judicial, Fuerza Pública, ESPH</t>
  </si>
  <si>
    <t>Plan integral de infraestructura en materia de seguridad</t>
  </si>
  <si>
    <t xml:space="preserve">Plan formulado y aprobado </t>
  </si>
  <si>
    <t>Fortalecer las capacidades técnicas y operativas de los policías municipales</t>
  </si>
  <si>
    <t>Capacitaciones coordinadas</t>
  </si>
  <si>
    <t>Plan integral en materia de atención a las adicciones y prevención social</t>
  </si>
  <si>
    <t>Plan formualdo y aprobado</t>
  </si>
  <si>
    <t>Fuerza Pública, Ministerio de Salud, CCSS, IAFA,ONG, IMA</t>
  </si>
  <si>
    <t>Poder Judicial, Fuerza Pública, ESPH</t>
  </si>
  <si>
    <t>Estrategia diseñada</t>
  </si>
  <si>
    <t xml:space="preserve">Promoción de un polo de desarrollo </t>
  </si>
  <si>
    <t xml:space="preserve">Programa de impulso al emprendedurismo local </t>
  </si>
  <si>
    <t>Programa de fortalecimiento del Campo Ferial en Mercedes Norte.</t>
  </si>
  <si>
    <t>Alianza gestionada</t>
  </si>
  <si>
    <t>Programa formulado</t>
  </si>
  <si>
    <t>Alianza constituída</t>
  </si>
  <si>
    <t>Gestión realizada</t>
  </si>
  <si>
    <t>Programa formulado  y aprobado</t>
  </si>
  <si>
    <t>Implemetación realizada</t>
  </si>
  <si>
    <t>Plan de reactivación de sectores dinámicos del aparato económico local formulado y aprobado a diciembre del 2016</t>
  </si>
  <si>
    <t>Alcaldía, RRHH, OFIM</t>
  </si>
  <si>
    <t>Planificación, Alcaldía, OFIM</t>
  </si>
  <si>
    <t xml:space="preserve">Programa integral de desarrollo deportivo, cultural y recreativo </t>
  </si>
  <si>
    <t xml:space="preserve">Convenio formalizado </t>
  </si>
  <si>
    <t>No. actividades realizadas</t>
  </si>
  <si>
    <t>No. personas que participan</t>
  </si>
  <si>
    <t xml:space="preserve">Programa integral de mejoramiento de hábitos de alimentación  </t>
  </si>
  <si>
    <t>Propuesta formulada</t>
  </si>
  <si>
    <t xml:space="preserve">Plan de mejoramiento y mantenimiento de la infraestructura de los Centros Educativos del Cantón </t>
  </si>
  <si>
    <t>Actividad realizada</t>
  </si>
  <si>
    <t>Plan  integral de programas preventivos para evitar la deserción estudiantil, el acoso escolar y la prevención del embarazó en adolecentes.</t>
  </si>
  <si>
    <t>Comisón creada</t>
  </si>
  <si>
    <t>Plan integral de programas de educación vocacional, emprendedurismo y gestión empresarial</t>
  </si>
  <si>
    <t>Porcentaje de incremento obtenido</t>
  </si>
  <si>
    <t>INVU, SETENA</t>
  </si>
  <si>
    <t>Dar a conocer el Plan Regulador</t>
  </si>
  <si>
    <t>No. áreas públicas intervenidas</t>
  </si>
  <si>
    <t>Plan Maestro realizado</t>
  </si>
  <si>
    <t>8. Fortalecer el  desarrollo social existente y ampliar las posibilidades de acceso a diversos ámbitos en pro del bienestar social de la ciudadanía, propiciando la equidad social , igualdad de oportunidades y equidad de género.</t>
  </si>
  <si>
    <t>4. Mejorar la calidad de la salud de los habitantes del Cantón Primero de Heredia mediante un programa salud preventiva y reactiva</t>
  </si>
  <si>
    <t>6. Mejorar la calidad de la educación a través de infraestructura adecuada y programas especializados</t>
  </si>
  <si>
    <t xml:space="preserve">1.4.6.Plan de comunicación sobre el Plan de Ordenamiento Territorial y Plan Regulador </t>
  </si>
  <si>
    <t>1.4.6.1.Formular un plan de comunicación sobre el Plan de Ordenamiento Territorial y Plan Regulador formulado a diciembre 2013 (Supeditado a la aprobación del Plan Regional)</t>
  </si>
  <si>
    <t>No.km2 cosnstruidos anualmente</t>
  </si>
  <si>
    <t>1.4.6.</t>
  </si>
  <si>
    <t>1.4.7.1.Controlar que la huella constructiva no supera los 0,208 km2 construidos anualmente a partir de la aprobación del Plan Regulador.</t>
  </si>
  <si>
    <t>1.4.7.</t>
  </si>
  <si>
    <t xml:space="preserve">Control  de la huella constructiva </t>
  </si>
  <si>
    <t>1.3.5.</t>
  </si>
  <si>
    <t>1.3.6</t>
  </si>
  <si>
    <t xml:space="preserve"> Plan de trabajo conjunto entre la Municipalidad y demás sectores relacionados </t>
  </si>
  <si>
    <t>Programa de protección de ríos y áreas Públicas ubicadas en el Cantón.</t>
  </si>
  <si>
    <t xml:space="preserve"> Inventario de focos de contaminación hídrica, atmosférica y visual del Cantón de Heredia</t>
  </si>
  <si>
    <t xml:space="preserve">Plan de acción para mitigación de los focos contaminación del Cantón de Heredia </t>
  </si>
  <si>
    <t xml:space="preserve"> Reglamento para la normalización y homogenización de la rotulación en el Cantón de Heredia.</t>
  </si>
  <si>
    <t>1.2.2.</t>
  </si>
  <si>
    <t xml:space="preserve">Programa de Comunicación y Sensibilización  en temas ambientales </t>
  </si>
  <si>
    <t xml:space="preserve">Inventario de áreas públicas municipales </t>
  </si>
  <si>
    <t xml:space="preserve">2.1.11. Inventario de áreas públicas municipales </t>
  </si>
  <si>
    <t>2.1.12. Plan Maestro de alcantarillado pluvial  municipal .</t>
  </si>
  <si>
    <t>2.1.11.</t>
  </si>
  <si>
    <t>2.1.12.</t>
  </si>
  <si>
    <t>2.1.13.</t>
  </si>
  <si>
    <t>Plan Maestro de alcantarillado pluvial  municipal .</t>
  </si>
  <si>
    <t xml:space="preserve">2.1.13.Intervención  áreas públicas </t>
  </si>
  <si>
    <t xml:space="preserve">Intervención  áreas públicas </t>
  </si>
  <si>
    <t xml:space="preserve"> Programa de formación de capacidades en gestión de riesgos locales.</t>
  </si>
  <si>
    <t>3.28. Fortalecer el sistema de información y comunicación Municipal.</t>
  </si>
  <si>
    <t>3.25.1.</t>
  </si>
  <si>
    <t>3.26.1.</t>
  </si>
  <si>
    <t>3.27.1.</t>
  </si>
  <si>
    <t>3.28.1.</t>
  </si>
  <si>
    <t xml:space="preserve"> Programa de optimización de procesos y simplificación de trámites y requisitos de la gestión municipal.</t>
  </si>
  <si>
    <t xml:space="preserve"> Programa efectivo de recaudación de impuestos municipales y gestión de cobro que genere recursos financieros suficientes para cubrir servicios de apoyo al plan de desarrollo de la Municipalidad de Heredia.</t>
  </si>
  <si>
    <t xml:space="preserve"> Fortalecer el sistema de información y comunicación Municipal.</t>
  </si>
  <si>
    <t>Porcentaje alcanzado</t>
  </si>
  <si>
    <t>Base de datos actualizada y depurada</t>
  </si>
  <si>
    <t>Sistema implementado</t>
  </si>
  <si>
    <t>Reportaes generados plazo establecido</t>
  </si>
  <si>
    <t>Alianza establecida</t>
  </si>
  <si>
    <t>3.25. Desarrollar Políticas, estrategias y programas de dotación y desarrollo del talento humano.</t>
  </si>
  <si>
    <t>3.25.1. Políticas, estrategias y programas de dotación y desarrollo del talento humano.</t>
  </si>
  <si>
    <t xml:space="preserve">3.25.1.3. Formular una  estrategia y programa de dotación y desarrollo del talento humano </t>
  </si>
  <si>
    <t>3.25.1.1. Diseñar al menos una política de desarrollo del talento humano  a diciembre de 2012.</t>
  </si>
  <si>
    <t>3.26. Implementar programa de optimización de procesos y simplificación de trámites y requisitos de la gestión municipal.</t>
  </si>
  <si>
    <t>3.26.1. Programa de optimización de procesos y simplificación de trámites y requisitos de la gestión municipal.</t>
  </si>
  <si>
    <t>3.26.1.1. Un programa de optimización de procesos realizado al 30 de agosto de 2013.</t>
  </si>
  <si>
    <t>3.26.1.2. Al menos el 10% de los macro-procesos de la gestión municipal optimizados a agosto 2013.</t>
  </si>
  <si>
    <t>3.26.1.3. Un programa de simplificación de trámites y requisitos implementado en la Municipalidad a diciembre 2013</t>
  </si>
  <si>
    <t>3.27.1. Programa efectivo de recaudación de impuestos municipales y gestión de cobro que genere recursos financieros suficientes para cubrir servicios de apoyo al plan de desarrollo de la Municipalidad de Heredia.</t>
  </si>
  <si>
    <t>3.27.1.1. Aumentados los Ingresos reales tributarios municipales en un 1% anual a partir de enero 2013.</t>
  </si>
  <si>
    <t>3.27.1.2. Contar con una base de datos actualizada y depurada  a partir de diciembre de  2012.</t>
  </si>
  <si>
    <t>3.27.1.3. Reducida la morosidad en el pago de tributos municipales en un1% anual a partir de diciembre de 2013.</t>
  </si>
  <si>
    <t>3.27. Implementar un programa efectivo de recaudación de impuestos municipales y gestión de cobro que genere recursos financieros suficientes para cubrir servicios de apoyo al plan de desarrollo de la Municipalidad de Heredia.</t>
  </si>
  <si>
    <t>3.28.1. Fortalecer el sistema de información y comunicación Municipal.</t>
  </si>
  <si>
    <t xml:space="preserve">3.28.1.1. Un Sistema Informático Integrado Municipal en implementación a partir de junio de 2012.  </t>
  </si>
  <si>
    <t>3.28.1.2.Un sistema de información gerencial en implementación efectiva a partir de enero 2014.</t>
  </si>
  <si>
    <t>3.28.1.3. El sistema de información genera mensualmente los reportes de gestión contable y presupuestaria a los 8 días una vez finalizado cada periodo de gestión mensual.</t>
  </si>
  <si>
    <t>3.29.Fortalecer los vínculos y alianzas estratégicas de la municipalidad con otros entes públicos y privados.</t>
  </si>
  <si>
    <t>3..29.1. Fortalecer los vínculos y alianzas estratégicas de la municipalidad con otros entes públicos y privados.</t>
  </si>
  <si>
    <t>3.29.1.1. Al menos una nueva alianza anual establecida formalmente con un ente público o privado a partir de enero 2012.</t>
  </si>
  <si>
    <t>3.29.1.</t>
  </si>
  <si>
    <t xml:space="preserve"> Fortalecer los vínculos y alianzas estratégicas de la municipalidad con otros entes públicos y privados.</t>
  </si>
  <si>
    <t>4.2.2.1.Formular un plan integral de programas preventivos en materia de seguridad</t>
  </si>
  <si>
    <t>4.2.2.</t>
  </si>
  <si>
    <t>4.2.2.Plan integral de programas preventivos en materia de seguridad</t>
  </si>
  <si>
    <t>Plan integral de programas preventivos en materia de seguridad</t>
  </si>
  <si>
    <t>4.3. Formular e impulsar políticas de seguridad cantonal para que sean de conocimiento y aplicación de todos los habitantes.</t>
  </si>
  <si>
    <t xml:space="preserve">4.3.1. Política integral de seguridad cantonal </t>
  </si>
  <si>
    <t>4.3.1.1.Formular una  política integral de seguridad cantonal a diciembre de 2013.</t>
  </si>
  <si>
    <t xml:space="preserve">4.3.2.Estudio que identifique las zonas de mayor incidencia delictiva para cada unos de los distritos </t>
  </si>
  <si>
    <t xml:space="preserve">4.3.3. Plan de comunicación y educación a la población para la aplicación de la política de seguridad cantonal </t>
  </si>
  <si>
    <t>4.3.2.1. Realizar un estudio que identifique las zonas de mayor incidencia delictiva para cada unos de los distritos a diciembre de 2012.</t>
  </si>
  <si>
    <t>4.3.3.1.Realizar un plan de comunicación y educación a la población para la aplicación de la política de seguridad cantonal</t>
  </si>
  <si>
    <t>4.4. Ampliar la cobertura del sistema de vigilancia ciudadana.</t>
  </si>
  <si>
    <t>4.4.1. Plan integral de infraestructura en materia de seguridad</t>
  </si>
  <si>
    <t>4.4.2. Fortalecer las capacidades técnicas y operativas de los policías municipales</t>
  </si>
  <si>
    <t>4.5. Formular e impulsar un programa de atención integral para el combate a las adicciones y el rescate  social de personas en condición de indigencia y con problemas de adicción.</t>
  </si>
  <si>
    <t>4.5.1.Plan integral en materia de atención a las adicciones y prevención social</t>
  </si>
  <si>
    <t>4.5.1.1.Formular  un  plan integral en materia de atención a las adicciones y prevención social</t>
  </si>
  <si>
    <t>4.5.1.2. Implementación del 26%  del  plan integral en materia de atención a las adicciones y prevención social</t>
  </si>
  <si>
    <t>4.3.1.</t>
  </si>
  <si>
    <t>4.3.2.</t>
  </si>
  <si>
    <t>4.3.3.</t>
  </si>
  <si>
    <t>4.4.1.</t>
  </si>
  <si>
    <t>4.4.2.</t>
  </si>
  <si>
    <t>4.5.1.</t>
  </si>
  <si>
    <t>4.4.1.1.Formular un plan integral de infraestructura en materia de seguridad</t>
  </si>
  <si>
    <t>4.3.3.2.Implementación del 33% delplan de comunicación y educación a la población para la aplicación de la política de seguridad cantonal .</t>
  </si>
  <si>
    <t>6.4. Promover la creación de polos de desarrollo cantonal.</t>
  </si>
  <si>
    <t xml:space="preserve">6.4.1. Promoción de un polo de desarrollo </t>
  </si>
  <si>
    <t xml:space="preserve">6.4.1.1. Diseñar una estrategia para la promoción de un polo de desarrollo </t>
  </si>
  <si>
    <t>6.4.1.3. Gestionar una alianza con al menos una institución pública y una cámara empresarial para la promoción de un polo de desarrollo.</t>
  </si>
  <si>
    <t>6.4.1.4. Al menos una acción de promoción para la creación de un polo de desarrollo ejecutada anualmente a partir de enero de 2014</t>
  </si>
  <si>
    <t>6.5. Formular y gestionar un programa de impulso del emprendedurismo local</t>
  </si>
  <si>
    <t xml:space="preserve">6.5.1. Programa de impulso al emprendedurismo local </t>
  </si>
  <si>
    <t xml:space="preserve">6.5.1.1. Formular un programa de impulso al emprendedurismo local </t>
  </si>
  <si>
    <t xml:space="preserve">6.5.1.2. Implementación del 33%  programa de impulso al emprendedurismo local </t>
  </si>
  <si>
    <t>6.5.1.3. Una alianza público privada constituida para liderar un programa de impulso de emprendedurismo local a junio 2014.</t>
  </si>
  <si>
    <t>6.5.1 4  Al menos una gestión anual de recursos no reembolsables para apoyar un programa de impulso de emprendedurismo local realizada a partir de enero 2012.</t>
  </si>
  <si>
    <t>6.5.2. Programa de fortalecimiento del Campo Ferial en Mercedes Norte.</t>
  </si>
  <si>
    <t xml:space="preserve">6.5.2.1. Formular un programa de fortalecimiento del Campo Ferial en Mercedes Norte, dirigido al desarrollo de capacidades del "Mercado de personas emprendedoras" formulado a diciembre 2013 </t>
  </si>
  <si>
    <t>6.5.2.2.Implementación del 33% del  programa de fortalecimiento del Campo Ferial en Mercedes Norte</t>
  </si>
  <si>
    <t>6.6. Impulsar la reactivación de los sectores dinámicos del aparato económico local.</t>
  </si>
  <si>
    <t>6.6.1. Plan de reactivación de sectores dinámicos del aparato económico local formulado y aprobado a diciembre del 2016</t>
  </si>
  <si>
    <t xml:space="preserve">6.6.1.1. Formualar un  plan de reactivación de sectores dinámicos del aparato económico local </t>
  </si>
  <si>
    <t>6.4.1.</t>
  </si>
  <si>
    <t>6.5.1.</t>
  </si>
  <si>
    <t>6.5.2.</t>
  </si>
  <si>
    <t>6.6.1.</t>
  </si>
  <si>
    <t>7.5. Desarrollar programas deportivos, culturales y recreativos.</t>
  </si>
  <si>
    <t xml:space="preserve">7.5.1.Programa integral de desarrollo deportivo, cultural y recreativo </t>
  </si>
  <si>
    <t>7.5.1.1.Crear un  programa integral de desarrollo deportivo, cultural y recreativo aprobado al 31 de diciembre de 2012.</t>
  </si>
  <si>
    <t>7.5.1.2.Realizar un convenio de coordinación para promoción de desarrollo deportivo de bajo impacto, cultural y recreativo formalizado con el ICODER y con la UNA a junio 2013.</t>
  </si>
  <si>
    <t>7.5.1.3.Realizar al menos 2 actividades deportivas masivas-no comerciales- anuales realizadas en los distritos del cantón central, a partir de enero 2012.</t>
  </si>
  <si>
    <t>7.5.1.4. Al menos 25 personas participan bimestralmente en actividades deportivas de bajo rendimiento en los distritos del cantón.</t>
  </si>
  <si>
    <t>7.6. Coordinar programas para mejorar hábitos de alimentación de la comunidad.</t>
  </si>
  <si>
    <t xml:space="preserve">7.6.1. Programa integral de mejoramiento de hábitos de alimentación  </t>
  </si>
  <si>
    <t>7.6.1.1.Crear un  programa integral de mejoramiento de hábitos de alimentación  aprobado al 31 de diciembre de 2012.</t>
  </si>
  <si>
    <t>7.6.1.2.Un convenio formalizado con la CCSS para la vida saludable y prevención de la salud a junio 2012.</t>
  </si>
  <si>
    <t>7.6.1.3. Al menos 25 personas participan bimestralmente en los programas de vida saludable y prevención de la salud en coordinación con la CCSS, a parir de julio 2012.</t>
  </si>
  <si>
    <t>7.6.1.4. Formalizar un  convenio con el MEP para la educación en salud preventiva a las comunidades del cantón de Heredia, a diciembre 2012.</t>
  </si>
  <si>
    <t>7.6.1.5. Al menos 25 personas participan bimestralmente en los programas de educación en vida saludable en coordinación con el MEP, a parir de enero 2013.</t>
  </si>
  <si>
    <t>7.5.1.</t>
  </si>
  <si>
    <t>7.6.1.</t>
  </si>
  <si>
    <t>7.7.1.</t>
  </si>
  <si>
    <t>7.8.1.</t>
  </si>
  <si>
    <t>7.9.1.</t>
  </si>
  <si>
    <t>1.5. Programa Gestión Riesgos Naturales y Sociales</t>
  </si>
  <si>
    <t>1.5.1. Plan de Gestión de Riesgos Naturales y Sociales.</t>
  </si>
  <si>
    <t>1.5.1.1.Formular un Plan de Gestión de Riesgos Naturales y Sociales</t>
  </si>
  <si>
    <t>1.5.1.2. Implementación  33 % del  Plan de Gestión de Riesgos Naturales y Sociales  a partir de enero de 2014.</t>
  </si>
  <si>
    <t>1.5.1.</t>
  </si>
  <si>
    <t>1.5.2.</t>
  </si>
  <si>
    <t>LP 1.1. Elaborar e implementar un Plan Cantonal de Manejo de Residuos Sólidos.</t>
  </si>
  <si>
    <t>LP 1.2.  Desarrollar un programa de comunicación y sensibilización en temas ambientales en la población del Cantón de Heredia.</t>
  </si>
  <si>
    <t>LP 1.2.1. Al menos un 25% de la población del cantón toma conciencia de la importancia de los temas ambientales al tercer año de implementado el programa de comunicación y sensibilización.</t>
  </si>
  <si>
    <t>LP 1.2.2. Un programa de comunicación y sensibilización en temas ambientales formulado a marzo 2013 e iniciado a mayo 2013.</t>
  </si>
  <si>
    <t>LP 1.3. Fomentar un programa de recuperación de los ecosistemas naturales de las áreas de protección de ríos y áreas públicas del Cantón de Heredia.</t>
  </si>
  <si>
    <t>LP 1.3.5. Un Plan de trabajo conjunto entre la Municipalidad y demás sectores relacionados formulado al 30 junio de 2012.</t>
  </si>
  <si>
    <t>LP 1.3.6. Un Programa de protección de ríos y áreas públicas ubicadas en el Cantón de Heredia, con especies 100% nativas, en implementación a partir de diciembre 2012.</t>
  </si>
  <si>
    <t>LP 1.3.1. a 1.3.4. Recuperados 25 km de zonas de protección de ríos y áreas públicas ubicadas en el Cantón de Heredia, en un plazo de 10 años a partir de mayo de 2013.</t>
  </si>
  <si>
    <t>1.6. Inventariar y gestionar soluciones para los focos de contaminación hídrica, atmosférica y visual del Cantón de Heredia</t>
  </si>
  <si>
    <t>1.6.1. Inventario de focos de contaminación hídrica, atmosférica y visual del Cantón de Heredia</t>
  </si>
  <si>
    <t>1.6.2.Programa de saneamiento ambiental, con alcance en los aspectos hídricos; estudios concluidos al 2016.</t>
  </si>
  <si>
    <t xml:space="preserve">1.6.3.Plan de acción para mitigación de los focos contaminación del Cantón de Heredia, </t>
  </si>
  <si>
    <t>1.6.4. Reglamento para la normalización y homogenización de la rotulación en el Cantón de Heredia.</t>
  </si>
  <si>
    <t>LP 1.6. Inventariar y gestionar soluciones para los focos de contaminación hídrica, atmosférica y visual del Cantón de Heredia</t>
  </si>
  <si>
    <t>LP 1.6.1. Un Inventario de focos de contaminación hídrica, atmosférica y visual del Cantón de Heredia, coordinado con las diferentes instancias relacionadas a diciembre de 2013.</t>
  </si>
  <si>
    <t>LP 1.6.2. Un Programa de saneamiento ambiental, con alcance en los aspectos hídricos; estudios concluidos al 2016, implementado a partir de julio de 2017.</t>
  </si>
  <si>
    <t>LP 1.6.3. Un plan de acción para mitigación de los focos contaminación del Cantón de Heredia, diseñado a marzo de 2014 y en implementación  a partir de setiembre de 2014.</t>
  </si>
  <si>
    <t>1.6.1.1. Realizar un Inventario de focos de contaminación hídrica, atmosférica y visual del Cantón de Heredia, coordinado con las diferentes instancias relacionadas a diciembre de 2013.</t>
  </si>
  <si>
    <t>1.6.2.1. Crear un Programa de saneamiento ambiental, con alcance en los aspectos hídricos; estudios concluidos al 2016</t>
  </si>
  <si>
    <t xml:space="preserve">1.6.3.1.Crear un plan de acción para mitigación de los focos contaminación del Cantón de Heredia, diseñado a marzo de 2014 </t>
  </si>
  <si>
    <t>1.6.3.2. Implementación del 26% Plan de acción para mitigar los focos de contaminación del cantón de Heredia.</t>
  </si>
  <si>
    <t>1.6.1.</t>
  </si>
  <si>
    <t>1.6.2.</t>
  </si>
  <si>
    <t>1.6.3.</t>
  </si>
  <si>
    <t>1.6.4.</t>
  </si>
  <si>
    <t>LP 1.6.3. Reducidos los focos de contaminación por gases en un 25% a diciembre de 2022.</t>
  </si>
  <si>
    <t>LP  1.4.Formular e implementar el Plan de Ordenamiento Territorial Cantonal</t>
  </si>
  <si>
    <t>1.6.4.1.Diseñar un Reglamento para la normalización y homogenización de la rotulación en el Cantón de Heredia</t>
  </si>
  <si>
    <t>1.6.4.2.Implementación del 30% del Reglamento para la normalización y homogenización de la rotulación en el Cantón de Heredia</t>
  </si>
  <si>
    <t>LP 1.4.7.La huella constructiva no supera los 0,208 km2 construidos anualmente a partir de la aprobación del Plan Regulador.</t>
  </si>
  <si>
    <t>LP 1.5. Formular y ejecutar el Plan de Gestión de Riesgos Naturales y Sociales.</t>
  </si>
  <si>
    <t>LP 1.5.1.Un Plan de Gestión de Riesgos Naturales y Sociales formulado y aprobado a diciembre de 2013 y en implementación a partir de enero de 2014.</t>
  </si>
  <si>
    <t>1.5.2. Una línea base e inventario de áreas vulnerables realizado a julio 2013.</t>
  </si>
  <si>
    <t xml:space="preserve">1.5.3. Comisión de gestión de riesgo local por distrito conformada a diciembre 2012 </t>
  </si>
  <si>
    <t>1.5.2.1. Una línea base e inventario de áreas vulnerables realizado a julio 2013.</t>
  </si>
  <si>
    <t xml:space="preserve">1.5.3.1. Crear una comisión de gestión de riesgo local por distrito conformada a diciembre 2012 </t>
  </si>
  <si>
    <t>1.5.3.2. Implemetación de la Comisión de Gestión de Riesgo Local por distrito.</t>
  </si>
  <si>
    <t>LP 1.5.2. Una línea base e inventario de áreas vulnerables realizado a julio 2013.</t>
  </si>
  <si>
    <t>LP 1.5.3. Una comisión de gestión de riesgo local por distrito conformada a diciembre 2012 y en operación a partir de enero 2013.</t>
  </si>
  <si>
    <t>1.5.4. Programa de formación de capacidades en gestión de riesgos locales.</t>
  </si>
  <si>
    <t>1.5.4.1. Un programa de formación de capacidades en gestión de riesgos locales formulado a julio 2013 y en implementación a partir de agosto 2013.</t>
  </si>
  <si>
    <t>1.5.4.2. Al menos 50 personas capacitadas (10 por distrito) en gestión de riesgos locales a julio 2014.</t>
  </si>
  <si>
    <t>LP 1.5.4. Un programa de formación de capacidades en gestión de riesgos locales formulado a julio 2013 y en implementación a partir de agosto 2013.</t>
  </si>
  <si>
    <t>LP 1.5.4. Al menos 50 personas capacitadas (10 por distrito) en gestión de riesgos locales a julio 2014.</t>
  </si>
  <si>
    <t>1.5.4.</t>
  </si>
  <si>
    <t>1.5.3.</t>
  </si>
  <si>
    <t xml:space="preserve">Comisión de gestión de riesgo local por distrito conformada a diciembre 2012 </t>
  </si>
  <si>
    <t>LP 1.6.4. Un Reglamento para la normalización y homogenización de la rotulación en el Cantón de Heredia, diseñado y aprobado a diciembre de 2013 y en implementación a partir de enero de 2014</t>
  </si>
  <si>
    <t>LP 2.1.1. Al menos 3000 metros lineales del sistema de alcantarillado pluvial intervenido anualmente a partir de enero 2012.</t>
  </si>
  <si>
    <t>2.1.11.1.Un inventario anual de áreas públicas municipales por distrito realizado a partir de 2012.</t>
  </si>
  <si>
    <t>2.1.12.1.Realizar el 50% del  Plan Maestro de alcantarillado pluvial  municipal realizado a diciembre de 2016.</t>
  </si>
  <si>
    <t>2.1.13.1. Al menos 2 áreas públicas intervenidas anualmente a partir de enero de 2012.</t>
  </si>
  <si>
    <t>LP 2.1.11. Un inventario anual de áreas públicas municipales por distrito realizado a partir de 2012.</t>
  </si>
  <si>
    <t>LP 2.1.12. Un Plan Maestro de alcantarillado pluvial  municipal realizado a diciembre de 2022.</t>
  </si>
  <si>
    <t>LP 2.1.13.Al menos 2 áreas públicas intervenidas anualmente a partir de enero de 2012.</t>
  </si>
  <si>
    <t>1.4.5. Un Plan de Gestión Vial formulado y aprobado a diciembre de 2013 y en implementación a partir de enero 2014.</t>
  </si>
  <si>
    <t xml:space="preserve">LP 1.4. y LP  2.1. Formular e implementar un Plan de Gestión Vial. </t>
  </si>
  <si>
    <t>LP  2.1.6. Un Plan Quinquenal de Red Vial Cantonal, formulado y aprobado a diciembre 2012 y en implementación a partir de enero 2013.</t>
  </si>
  <si>
    <t>LP 2.1. y LP 2.2. Formular e implementar un plan de mantenimiento, mejoramiento, habilitación y embellecimiento de la infraestructura pública municipal.</t>
  </si>
  <si>
    <t xml:space="preserve">LP 3.1 a LP 3.24. Promover el desarrollo organizacional y la profesionalización del personal
</t>
  </si>
  <si>
    <t>LP 3.1.1. a LP 3.24.1. Realizar al menos 24 acciiones estratégicas que promuevan el desarrollo organizacional y la profesionalización del personal</t>
  </si>
  <si>
    <t>LP 3.25. Desarrollar Políticas, estrategias y programas de dotación y desarrollo del talento humano.</t>
  </si>
  <si>
    <t>LP 3.25.1.3.  Al menos una estrategia y programa de dotación y desarrollo del talento humano formulados y en operación a partir de enero de 2013.</t>
  </si>
  <si>
    <t>LP 3.25.1.4.  Al menos 10% del RRHH Municipal capacitado y/o motivado anualmente como resultado de las políticas, estrategias y programas implementados, a partir de enero 2013.</t>
  </si>
  <si>
    <t>3.25.1.5 Un estudio de Clima Organización realizado a setiembre de 2012.</t>
  </si>
  <si>
    <t>LP 3.25.1.5. Un estudio de Clima Organización realizado a setiembre de 2012.</t>
  </si>
  <si>
    <t>LP 3.25.1.6. Un estudio de cargas de trabajo y productividad realizado a setiembre de 2012.</t>
  </si>
  <si>
    <t>LP  3.26. Implementar programa de optimización de procesos y simplificación de trámites y requisitos de la gestión municipal.</t>
  </si>
  <si>
    <t>LP 3.26.1.1. Un programa de optimización de procesos realizado al 30 de agosto de 2013.</t>
  </si>
  <si>
    <t>LP 3.26.1.2. Al menos el 10% de los macro-procesos de la gestión municipal optimizados a agosto 2013.</t>
  </si>
  <si>
    <t>LP 3.27.  Implementar un programa efectivo de recaudación de impuestos municipales y gestión de cobro que genere recursos financieros suficientes para cubrir servicios de apoyo al plan de desarrollo de la Municipalidad de Heredia.</t>
  </si>
  <si>
    <t>LP 3.26.1.3. Un programa de simplificación de trámites y requisitos implementado en la Municipalidad a diciembre 2013</t>
  </si>
  <si>
    <t>LP 3.27.1.1 .Aumentados los Ingresos reales tributarios municipales en un 1% anual a partir de enero 2013.</t>
  </si>
  <si>
    <t>LP 3.27.1.2. Una base de datos actualizada y depurada  a partir de diciembre de  2012.</t>
  </si>
  <si>
    <t>LP 3.27.1.3. Reducida la morosidad en el pago de tributos municipales en un1% anual a partir de diciembre de 2013.</t>
  </si>
  <si>
    <t>LP 3.28.  Fortalecer el sistema de información y comunicación Municipal.</t>
  </si>
  <si>
    <t xml:space="preserve">LP 3.28.1.1. Un Sistema Informático Integrado Municipal en implementación a partir de junio de 2012.  </t>
  </si>
  <si>
    <t>LP 3.28.1.2. Un sistema de información gerencial en implementación efectiva a partir de enero 2014.</t>
  </si>
  <si>
    <t>LP 3.28.1.3. El sistema de información genera mensualmente los reportes de gestión contable y presupuestaria a los 8 días una vez finalizado cada periodo de gestión mensual.</t>
  </si>
  <si>
    <t>LP 3.29. Fortalecer los vínculos y alianzas estratégicas de la municipalidad con otros entes públicos y privados.</t>
  </si>
  <si>
    <t>LP 3.29.1.  Al menos una nueva alianza anual establecida formalmente con un ente público o privado a partir de enero 2012.</t>
  </si>
  <si>
    <t>LP 3.25.1. Al menos una política de desarrollo del talento humano diseñada y en implementación a diciembre de 2012.</t>
  </si>
  <si>
    <t>LP 4.1. y LP 4.2. Fomentar la coordinación de programas preventivos y correctivos en materia de seguridad con instituciones públicas, entidades privadas y grupos organizados de la sociedad civil.</t>
  </si>
  <si>
    <t>LP 4.1.4.3 .Al menos 11 charlas sobre seguridad comunitaria impartidas por distrito, por semestre, a partir de enero 2012.</t>
  </si>
  <si>
    <t>4.1.4.5. Constituir al  menos un Comité de Barrios Organizados de "Ojos y oídos" contra la delincuencia, por distrito, por semestre, a partir de enero de 2013.</t>
  </si>
  <si>
    <t>No. comités constituidos</t>
  </si>
  <si>
    <t>4.1.4.6. Graduar al menos 15 personas en seguridad ciudadana por distrito, por semestre, a partir de junio 2012.</t>
  </si>
  <si>
    <t>LP 4.1.4.5. .Se constituye al menos un Comité de Barrios Organizados de "Ojos y oídos" contra la delincuencia, por distrito, por semestre, a partir de enero de 2013.</t>
  </si>
  <si>
    <t>LP 4.1.4.6.  Al menos 15 personas graduadas en seguridad ciudadana por distrito, por semestre, a partir de junio 2012.</t>
  </si>
  <si>
    <t>LP 4.2.1. y Lp 4.2.2. Un plan integral de programas preventivos en materia de seguridad, formulado y aprobado por las entidades relacionadas a diciembre 2013.</t>
  </si>
  <si>
    <t>LP 4.3. Formular e impulsar políticas de seguridad cantonal para que sean de conocimiento y aplicación de todos los habitantes.</t>
  </si>
  <si>
    <t xml:space="preserve"> LP 4.3.1. Una política integral de seguridad cantonal formulada y aprobada por todas las Entidades relacionadas a diciembre de 2013.</t>
  </si>
  <si>
    <t>LP 4.3.2. Un estudio que identifique las zonas de mayor incidencia delictiva para cada unos de los distritos a diciembre de 2012.</t>
  </si>
  <si>
    <t>LP 4.3.3. Un plan de comunicación y educación a la población para la aplicación de la política de seguridad cantonal implementada a partir de junio 2014.</t>
  </si>
  <si>
    <t>LP 4.4. Ampliar la cobertura del sistema de vigilancia ciudadana.</t>
  </si>
  <si>
    <t>LP 4.4.1. Un plan integral de infraestructura en materia de seguridad, formulado y aprobado por las entidades relacionadas a junio 2014.</t>
  </si>
  <si>
    <t>LP 4.4.2.  Al menos el 25% de los policías municipales fortalecen su capacidad técnica y operativa por medio de capacitaciones especializadas, semestralmente a partir de enero de 2013.</t>
  </si>
  <si>
    <t>4.4.2.1. Coordinar  capacitaciones que fortalezcan la capacidad técnica y operativa de los Policías por  semestralmente a partir de enero de 2013.</t>
  </si>
  <si>
    <t>LP 4.1.6. Al menos 20  cámaras de seguridad instaladas y distribuidas en las zonas de mayor incidencia delictiva, por semestre a partir de enero de 2014, hasta 2017. (A partir de constituida la Empresa Seguridad Digital)</t>
  </si>
  <si>
    <t>LP 4.5.  Formular e impulsar un programa de atención integral para el combate a las adicciones y el rescate  social de personas en condición de indigencia y con problemas de adicción.</t>
  </si>
  <si>
    <t>LP 4.5.1.  Un plan integral en materia de atención a las adicciones y prevención social,  formulado y aprobado por las entidades relacionadas a diciembre de 2014 e implementado a partir de enero de 2015.</t>
  </si>
  <si>
    <t xml:space="preserve"> Un Centro de Desintoxicación construido e implementado a partir del enero de 2018.</t>
  </si>
  <si>
    <t>LP 6.1. a LP 6.3  Fortalecer  las  capacidades de  las personas, las posibilidades de la pequeña y mediana empresa y las atracciones turísticas.</t>
  </si>
  <si>
    <t>LP 6.2.1 a LP 6.2.2. Coordinar al menos una vez al año el proceso de Presupuesto Participativo</t>
  </si>
  <si>
    <t>LP 6.3.1. a LP 6.3.2. Realizar al menos dos actividades anuales que promuevan  la actividad turística, ecológica, artesanal y cultural</t>
  </si>
  <si>
    <t>LP 6.4.  Promover la creación de polos de desarrollo cantonal.</t>
  </si>
  <si>
    <t>LP 6.4.1.3.  Una alianza con al menos una institución pública y una cámara empresarial para la promoción de un polo de desarrollo lograda a  diciembre 2013.</t>
  </si>
  <si>
    <t>LP 6.4.1.1.  a LP 6.4.1.2. Una estrategia para la promoción de un polo de desarrollo diseñada a diciembre de 2013 y en implementación a partir de enero 2014.</t>
  </si>
  <si>
    <t>LP 6.4.1.4.  Al menos una acción de promoción para la creación de un polo de desarrollo ejecutada anualmente a partir de enero de 2014</t>
  </si>
  <si>
    <t>LP 6.5.  Formular y gestionar un programa de impulso del emprendedurismo local</t>
  </si>
  <si>
    <t>LP 6.5.1.1. a LP 6.5.1.2. Un programa de impulso al emprendedurismo local formulado y aprobado a diciembre del 2013 y en implementación de enero 2014 a diciembre 2022.</t>
  </si>
  <si>
    <t>LP 6.5.1.3.  Una alianza público privada constituida para liderar un programa de impulso de emprendedurismo local a junio 2014.</t>
  </si>
  <si>
    <t>LP 6.5.1.4. Al menos una gestión anual de recursos no reembolsables para apoyar un programa de impulso de emprendedurismo local realizada a partir de enero 2012.</t>
  </si>
  <si>
    <t>LP 6.5.2.1. a LP 6.5.2.2. Un programa de fortalecimiento del Campo Ferial en Mercedes Norte, dirigido al desarrollo de capacidades del "Mercado de personas emprendedoras" formulado a diciembre 2013 y en implementación a partir de enero del 2014.</t>
  </si>
  <si>
    <t>LP 6.6.  Impulsar la reactivación de los sectores dinámicos del aparato económico local.</t>
  </si>
  <si>
    <t>LP 6.6.1.1. Un plan de reactivación de sectores dinámicos del aparato económico local formulado y aprobado a diciembre del 2016, y en implementación a partir de enero de 2017 a diciembre 2022.</t>
  </si>
  <si>
    <t>LP 7.1.  Generar estrategias y propuestas acordes  a las necesidades específicas de poblaciones vulnerables.</t>
  </si>
  <si>
    <t>LP 7.1.1. a  LP 7.1.6. Realizar al menos seis proyectos que contribuyan a generar estrategias y propuestas acordes  a las necesidades específicas de poblaciones vulnerables.</t>
  </si>
  <si>
    <t>LP 7.2.  Promover acciones afirmativas que promuevan la equidad de género y la participación de las mujeres.</t>
  </si>
  <si>
    <t>LP 7.2.2. a LP 7.2.12.  Desarrollar al menos 12 proyectos que promuevan  acciones afirmativas que incentiven  la equidad de género y la participación de las mujeres.</t>
  </si>
  <si>
    <t>LP 7.3.  Asegurar y promover el pleno ejercicio  de todos los derechos humanos y libertades fundamentales de las personas con discapacidad en el cantón central de Heredia.</t>
  </si>
  <si>
    <t>LP 7.3.1. a LP 7.3.8. Realizar al menos ocho proyectos que  aseguren y promuevan  el pleno ejercicio  de todos los derechos humanos y libertades fundamentales de las personas con discapacidad en el cantón central de Heredia.</t>
  </si>
  <si>
    <t>LP 7.5.  Desarrollar programas deportivos, culturales y recreativos.</t>
  </si>
  <si>
    <t>LP 7.5.1.1.  Un programa integral de desarrollo deportivo, cultural y recreativo aprobado al 31 de diciembre de 2012.</t>
  </si>
  <si>
    <t>LP 7.5.1.2. Un convenio de coordinación para promoción de desarrollo deportivo de bajo impacto, cultural y recreativo formalizado con el ICODER y con la UNA a junio 2013.</t>
  </si>
  <si>
    <t>LP 7.5.1.3.  Al menos 2 actividades deportivas masivas-no comerciales- anuales realizadas en los distritos del cantón central, a partir de enero 2012.</t>
  </si>
  <si>
    <t>LP 7.5.1.4.  Al menos 25 personas participan bimestralmente en actividades deportivas de bajo rendimiento en los distritos del cantón.</t>
  </si>
  <si>
    <t>LP 7.6.  Coordinar programas para mejorar hábitos de alimentación de la comunidad.</t>
  </si>
  <si>
    <t>LP 7.6.1.1. Un programa integral de mejoramiento de hábitos de alimentación  aprobado al 31 de diciembre de 2012.</t>
  </si>
  <si>
    <t>LP 7.6.1.2.  Un convenio formalizado con la CCSS para la vida saludable y prevención de la salud a junio 2012.</t>
  </si>
  <si>
    <t>LP 7.6.1.3.  Al menos 25 personas participan bimestralmente en los programas de vida saludable y prevención de la salud en coordinación con la CCSS, a parir de julio 2012.</t>
  </si>
  <si>
    <t>LP 7.6.1.4.   Un convenio formalizado con el MEP para la educación en salud preventiva a las comunidades del cantón de Heredia, a diciembre 2012.</t>
  </si>
  <si>
    <t>LP 7.6.1.5.  Al menos 25 personas participan bimestralmente en los programas de educación en vida saludable en coordinación con el MEP, a parir de enero 2013.</t>
  </si>
  <si>
    <t>7.7.  Formular e impulsar una propuesta cantonal que promueva la optimización del sistema de acceso a la salud pública.</t>
  </si>
  <si>
    <t>LP 7.7.  Formular e impulsar una propuesta cantonal que promueva la optimización del sistema de acceso a la salud pública.</t>
  </si>
  <si>
    <t>7.7.1.Propuesta cantonal que promueva la optimización del sistema de acceso a la salud pública, aprobada por las diferentes Entidades responsables del tema al 31 de diciembre de 2013.</t>
  </si>
  <si>
    <t>7.7.1.1. Formular una propuesta cantonal que promueva la optimización del sistema de acceso a la salud pública, aprobada por las diferentes Entidades responsables del tema al 31 de diciembre de 2013.</t>
  </si>
  <si>
    <t>LP 7.1.2.  Al menos 25 personas participan bimestralmente en los programas de educación para el acceso a la salud pública en coordinación con la CCSS y el Ministerio de Salud, a parir de julio 2012.</t>
  </si>
  <si>
    <t>LP 7.7.1. Una propuesta cantonal que promueva la optimización del sistema de acceso a la salud pública, aprobada por las diferentes Entidades responsables del tema al 31 de diciembre de 2013.</t>
  </si>
  <si>
    <t>7.7.2.1. Al menos 25 personas participan bimestralmente en los programas de educación para el acceso a la salud pública en coordinación con la CCSS y el Ministerio de Salud, a parir de julio 2012.</t>
  </si>
  <si>
    <t>LP 7.4 y LP 7.8. Coordinar con el Ministerio de Educación Pública el mejoramiento de la infraestructura de escuelas y colegios del cantón.</t>
  </si>
  <si>
    <t>7.8.  Coordinar con el Ministerio de Educación Pública el mejoramiento de la infraestructura de escuelas y colegios del cantón.</t>
  </si>
  <si>
    <t xml:space="preserve">7.8.1. Plan de mejoramiento y mantenimiento de la infraestructura de los Centros Educativos del Cantón </t>
  </si>
  <si>
    <t>7.8.1.1. Formular un  plan de mejoramiento y mantenimiento de la infraestructura de los Centros Educativos del Cantón formulado a diciembre 2013.</t>
  </si>
  <si>
    <t>LP 7.8.1.1. Un plan de mejoramiento y mantenimiento de la infraestructura de los Centros Educativos del Cantón formulado a diciembre 2013.</t>
  </si>
  <si>
    <t>7..8.1.2. Al menos un Centro Educativo por año, es intervenido integralmente para recuperar y/o mejorar su infraestructura física, a partir de enero de 2014.</t>
  </si>
  <si>
    <t>7.8..1.3. Al menos una Biblioteca Virtual instalada y funcionando por distrito cada dos años a partir de enero 2013</t>
  </si>
  <si>
    <t>LP 7.8.1.2.  Al menos un Centro Educativo por año, es intervenido integralmente para recuperar y/o mejorar su infraestructura física, a partir de enero de 2014.</t>
  </si>
  <si>
    <t>LP 7.8.1.3.  Al menos una Biblioteca Virtual instalada y funcionando por distrito cada dos años a partir de enero 2013</t>
  </si>
  <si>
    <t>LP 7.9.  Coordinar con instituciones educativas, públicas y privadas, el desarrollo de programas preventivos para evitar la deserción estudiantil, el acoso escolar y la prevención del embarazo en adolecentes.</t>
  </si>
  <si>
    <t>7.9. Coordinar con instituciones educativas, públicas y privadas, el desarrollo de programas preventivos para evitar la deserción estudiantil, el acoso escolar y la prevención del embarazo en adolecentes.</t>
  </si>
  <si>
    <t>7.9.1. Plan  integral de programas preventivos para evitar la deserción estudiantil, el acoso escolar y la prevención del embarazó en adolecentes.</t>
  </si>
  <si>
    <t>7.9.1.1. Formular un  plan integral de programas preventivos para evitar la deserción estudiantil, el acoso escolar y la prevención del embarazó en adolecentes, aprobado por las Entidades relacionadas a diciembre de 2013.</t>
  </si>
  <si>
    <t>7.9.1.2.Crear una comisión interinstitucional constituida para enfrentar la deserción y reprobación estudiantil, constituida a partir de enero de 2013.</t>
  </si>
  <si>
    <t>LP 7.9.1.1. Un plan integral de programas preventivos para evitar la deserción estudiantil, el acoso escolar y la prevención del embarazó en adolecentes, aprobado por las Entidades relacionadas a diciembre de 2013.</t>
  </si>
  <si>
    <t>LP 7.9.1.2.  Crear una comisión interinstitucional constituida para enfrentar la deserción y reprobación estudiantil, constituida a partir de enero de 2013.</t>
  </si>
  <si>
    <t>7.10.  Propiciar y Coordinar la implementación de programas de educación vocacional, emprendedurismo y gestión empresarial.</t>
  </si>
  <si>
    <t>7.10. Plan integral de programas de educación vocacional, emprendedurismo y gestión empresarial</t>
  </si>
  <si>
    <t>7.10.1.1. Formular un  plan integral de programas de educación vocacional, emprendedurismo y gestión empresarial, aprobado por las Entidades relacionadas e incorporado a la curricula de Colegios Vocacionales del Cantón de Heredia a diciembre  de 2015.</t>
  </si>
  <si>
    <t>7.10.1.2. Incremento del 10% del número de cursos vocacionales, emprendedurismo y gestión empresarial, incorporados en la curricula de las escuelas y colegios vocacionales del Cantón Central a partir de enero de 2016.</t>
  </si>
  <si>
    <t>7.10.1.3. Incremento del 10% del número de cursos de gestión empresarial brindados a emprendedores y mipymes del Cantón Central por instituciones relacionadas, a partir de enero de 2014</t>
  </si>
  <si>
    <t>LP 7.10. Propiciar y Coordinar la implementación de programas de educación vocacional, emprendedurismo y gestión empresarial.</t>
  </si>
  <si>
    <t>LP 7.10.1.1.  Un plan integral de programas de educación vocacional, emprendedurismo y gestión empresarial, aprobado por las Entidades relacionadas e incorporado a la curricula de Colegios Vocacionales del Cantón de Heredia a diciembre  de 2015.</t>
  </si>
  <si>
    <t>LP 7.10.1.2.  Incremento del 10% del número de cursos vocacionales, emprendedurismo y gestión empresarial, incorporados en la curricula de las escuelas y colegios vocacionales del Cantón Central a partir de enero de 2016.</t>
  </si>
  <si>
    <t>LP 7.10.1.3. Incremento del 10% del número de cursos de gestión empresarial brindados a emprendedores y mipymes del Cantón Central por instituciones relacionadas, a partir de enero de 2014</t>
  </si>
  <si>
    <t>LP 2.1.2. a LP 2.1.10. ( Exc. 2.1.6.)  Al menos nueve proyectos adicionales se programan por año  con el fin de Mejorar y dar mantenimiento a la infraestructura pública, considerando las necesidades de toda la población herediana. A diciembre 2016</t>
  </si>
  <si>
    <t>LP 1.4.1. a LP 1.4.4. Un Plan de Ordenamiento Territorial y un Plan Regulador aprobados a diciembre de 2013 y en implementación a partir de enero 2014 (Supeditado a la aprobación del Plan Regional).</t>
  </si>
  <si>
    <t>LP 1.4.6.1. Un plan de comunicación sobre el Plan de Ordenamiento Territorial y Plan Regulador formulado a diciembre 2013 y en implementación a partir de enero 2014. (Supeditado a la aprobación del Plan Regional)</t>
  </si>
  <si>
    <t xml:space="preserve">LP 1.4.6.2.Al menos el 10% anual de la población adulta del cantón tiene conocimiento del plan de ordenamiento territorial cantonal. </t>
  </si>
  <si>
    <t>1.4.7.Control  de la huella constructiva .</t>
  </si>
  <si>
    <t>No. personas capacitadas</t>
  </si>
  <si>
    <t>Porcentaje de implemetación</t>
  </si>
  <si>
    <t>LP 1.1.1.  y LP 1.1.2. Un Plan Cantonal de Manejo de Residuos Sólidos formulado y aprobado al 30 de junio de 2013 y en implementación a partir de julio 2014.</t>
  </si>
  <si>
    <t>1.5.4.2. Implementación  del 34%  programa de formación de capacidades en gestión de riesgos locales a partir de agosto 2013.</t>
  </si>
  <si>
    <t>3.25.1.2. Implemenación del 45%  la  Política de desarrollo del talento humano .</t>
  </si>
  <si>
    <t>3.25.1.4. Implementación del 50%  las , estrategias y programas  de dotación y desarrollo del talento humano</t>
  </si>
  <si>
    <t xml:space="preserve">6.4.1.2. Implementar   del  27% una estrategia para la promoción de un polo de desarrollo </t>
  </si>
  <si>
    <t>Comité Municipal de Emergencias, Ministerio de Salud, Bomberos, CNE, Cruz Roja, M. Seguridad, ESPH</t>
  </si>
  <si>
    <t>Mejora la calidad de vida de las pesonas</t>
  </si>
  <si>
    <t>ESPH. Empresa privada, Sociedad Civil</t>
  </si>
  <si>
    <t>ONGs, UNA, Ministerio de Salud, MOPT y COSEVI</t>
  </si>
  <si>
    <t>ESPH, MEIC, ICE, AYA, CAMARAS EMPRESARIALES, BANCA ESTATAL, ONG.</t>
  </si>
  <si>
    <t>MEIC, CMARA DE COMERCIO, BANCA ESTATAL, SBD, ONGS, IMAS COMITÉ DISTRITAL</t>
  </si>
  <si>
    <t>Alcanzar el Desarrollo económico local con altos índices socioeconómicos.</t>
  </si>
  <si>
    <t xml:space="preserve">Mejodra la calidad de la salud </t>
  </si>
  <si>
    <t>ICODER,UNA MINISTERIO DE CULTURA, MINISTERIO DE SALUD, MINISTERIO EDUCACIÓN CCSS</t>
  </si>
  <si>
    <t>MINISTERIO DE SALUD, CCSS, SOCIEDAD CIVIL, MAG, PIMA FAO</t>
  </si>
  <si>
    <t>MINISTERIO DE SALUD, CCSS, SOCIEDAD CIVIL.</t>
  </si>
  <si>
    <t>CONCEJOS DE DISTRITO, JUNTAS DE EDUCACIÓN, MEP, EMPRESA PRIVADA</t>
  </si>
  <si>
    <t>Mejora la calidad de la educación</t>
  </si>
  <si>
    <t>CONSEJOS DE DISTRITO, ADI, JUNTAS DE EDUCACIÓN, MEP, EMPRESA PRIVADA, ONG, M. SALUD, PNAI, UNA, INED, INA, UNIVERSIDADES PRIVADAS</t>
  </si>
  <si>
    <t>MEP, EMPRESA PRIVADA, ONGS, INA, UNED, MEIC,</t>
  </si>
  <si>
    <t>Mejora la seguridad ciudadana</t>
  </si>
  <si>
    <t>Lograr el fortalecimiento institucional</t>
  </si>
  <si>
    <t>Mejorar la calidad de vida de los habitantes</t>
  </si>
  <si>
    <t>1.4.6.2.Implementación del 33 %  del plan de comunicación sobre el Plan de Ordenamiento Territorial y Plan Regulador formulado a diciembre 2013 (Supeditado a la aprobación del Plan Regional)</t>
  </si>
  <si>
    <t>7.7.2.</t>
  </si>
  <si>
    <t>7.7.2. Participación en los programas de educación para el acceso a la salud pública en coordinación con la CCSS y el Ministerio de Salud</t>
  </si>
  <si>
    <t>Participación en los programas de educación para el acceso a la salud pública en coordinación con la CCSS y el Ministerio de Salud</t>
  </si>
  <si>
    <t>LP 4.1.1. a LP 4.1.6.  ( Excluye  4.1.4.3., 4.1.4.5. y 4.1..4.6 )Realizar al menos cuatro proyectos que fomenten la coordinación de los programas preventivos y correctivos en materia de seguridad</t>
  </si>
  <si>
    <t>2.1.1.1.Realizar la construcción  de 3000  metros anuales de cordón y caño y alcantarillado pluvial.</t>
  </si>
  <si>
    <t>1.4.5.2. Implementación del 33% Plan de Gestión Vial</t>
  </si>
  <si>
    <t>Porcentaje de implemtación</t>
  </si>
  <si>
    <t>1.3.6.2. Implementación del 30%  Programa de protección de ríos y áreas públicas ubicadas en el Cantón</t>
  </si>
  <si>
    <t>LP 2.2.1. a LP 2.2.2.  Al menos dos proyectos  se programan por año para propiciar espacios de esparcimiento y recreación para el disfrute de toda la comunidad herediana.</t>
  </si>
  <si>
    <t>LP 6.1.1. a LP 6.1.4. Realizar al  menos realizar cuatro proyectos que amplien las posibiliades laborales y creen mecanismos que faciliten la creación de pequeñas y medianas empresas</t>
  </si>
  <si>
    <t>SEGUIMIENTO PLAN MEDIANO PLAZO</t>
  </si>
  <si>
    <t>AÑO 2013</t>
  </si>
  <si>
    <t>META INCLUIDA 2013</t>
  </si>
  <si>
    <t>GRADO DE CUMPLIMIENTO A DIC. 2012</t>
  </si>
  <si>
    <t>PENDIENTE A DIC. 2013</t>
  </si>
  <si>
    <t>Realizar 5 talleres anuales para las comunidades sobre el manejo de residuos sólidos</t>
  </si>
  <si>
    <t>Realizar 11 charlas anuales en los Centros Educativos, sobre el manejo de residuos sólidos</t>
  </si>
  <si>
    <t>Elaboracion de los Reglamentos del Plan  Integral de Residuos Sólidos del Cantón</t>
  </si>
  <si>
    <t xml:space="preserve">Implementación de dos programas contemplados dentro del Plan Integral de Residuos Sólidos del Cantón </t>
  </si>
  <si>
    <t>Realizar 4  charas anuales sobre el tema de reciclaje y recurs hídrico</t>
  </si>
  <si>
    <t>Realizar la limpieza de 2 km anuales de los cauces de los cuerpos de agua superficiales en el catón central de Heredia</t>
  </si>
  <si>
    <t xml:space="preserve">Reforestar 2 km anuales de las zona de proteccion de los ríos y parque municipales ubicados en la microcuencas más vulnerables del cantón </t>
  </si>
  <si>
    <t xml:space="preserve">Realizar las acciones  necesarias para promover los PBAE en cada comunidad </t>
  </si>
  <si>
    <t>Realizar 3000 demarcaciones anuales en el cantón central de Heredia
Realizar la demarcación  de 40000 metros lineales anuales en el cantón central de Heredia.</t>
  </si>
  <si>
    <t>N/A</t>
  </si>
  <si>
    <t>Realizar 240 recorridos anuales,por  funcionario regulando las zonas de estacionamiento  a todo vehículo que infrinja la ley</t>
  </si>
  <si>
    <t>AÑO 2012</t>
  </si>
  <si>
    <t>PENDIENTE A DIC. 2012</t>
  </si>
  <si>
    <t xml:space="preserve">Sustitución de 500 metros de  tuberías pluvial
Construcción de 1000  metros cordon de caño </t>
  </si>
  <si>
    <t>Consttrucción de 310 rampas</t>
  </si>
  <si>
    <t>Estudios, diseño y construcción del Puente en calle Lopéz 1, Estudios preliminares para posterior Dseño y construcción del puente calle Lopéz 2, Estudios, diseño y construcción del puente entre Mercers Norte y Sur Hacia Colegio Montebello; Estudios, diseño y construcción de aproximación puente Los Arcos, margen izquierda</t>
  </si>
  <si>
    <t>Suministro, acarreo, colocacion y acabado final de carpetas asfalticas en distintos lugares del cantón con el fin de cubrir 11,7 km; 3,3 km con la 8114</t>
  </si>
  <si>
    <t xml:space="preserve">Colocar 2000 toneladas de material asfáltico en el cantón central de Heredia.     </t>
  </si>
  <si>
    <t>Contratar la mejora  del sistema de  iluminacion electrica del mercado
Realizar las gestiones necesaria para la contratacion externa para la culminacion de los trabajos de sustitucion del sistema de drenaje del mercado</t>
  </si>
  <si>
    <t>Realizar las estiones necesarias para la contratacion externa para la culminacion de los trabajos de sustitucion del sistema de drenaje
Realizar las gestiones necesarias para la compra e instalacion de 100 metros de canoa interna</t>
  </si>
  <si>
    <t>Formular Plan Quinquenal(Luis)</t>
  </si>
  <si>
    <t>n/a</t>
  </si>
  <si>
    <t>Realizar 9 mantenimientos en los edificios municipales</t>
  </si>
  <si>
    <t>Construcción de 4000 metros de aceras en áreas públicas de todo el cantón.
Construcción de un corredor accesible entre centros de salud educacacion , mercado entre otros II Etapa.</t>
  </si>
  <si>
    <t>Realizar notificaciones para  la construccion de aceras.</t>
  </si>
  <si>
    <t>Instalación en 5 parques de mini-gimnasios</t>
  </si>
  <si>
    <t>GRADO DE CUMPLIMIENTO A DICIEMBRE 2012</t>
  </si>
  <si>
    <t>GRADO DE CUMPLIMIENTO A DIC. 2013</t>
  </si>
  <si>
    <t xml:space="preserve">6. Digitarlizar los expedientes de esta Dirección  para brindar  mayor transparencia y accesibildad a la información  de esta unidad. </t>
  </si>
  <si>
    <t>Coordinar con los /as Titulares la presentación de Informes de Seguimiento Semestral de los resultados del  Modelo de Madurez</t>
  </si>
  <si>
    <t xml:space="preserve">Brindar asesorías, acompañamiento  y propuestas generales a la administracion para la valoración de las prioridades institucionales para el funcionamiento del Sistema de Control Interno, </t>
  </si>
  <si>
    <t>Contratar los servicios para el diseño y contrucción de un sistema informático para la administración de la información de Valoración de Riesgos Institucional</t>
  </si>
  <si>
    <t>Coordinar y/o brindar 6 capacitaciones (al personal Municipal,  Conforme con el Plan de Capacitación Anual programado</t>
  </si>
  <si>
    <t>Implementación de la arquitectura de informática</t>
  </si>
  <si>
    <t>Realizar diagnóstico para conocer la percepción de los ciudadanos con respecto a los servicios brindados por la Municipalidad.</t>
  </si>
  <si>
    <t>Implementación del Plan de Medios de Comunicación Masiva, para incrementar  la presencia en los medios de comunicación a través de pauta directa y publicity, mediante la contratación de  1 Medio Radiofónico de cobertura nacional y 2 de cobertura local.</t>
  </si>
  <si>
    <t xml:space="preserve">Implementación del Plan de Medios Sociales que propicie espacios de opinión, consulta y creación de información, a fin de mejorar la imagen que  la institución proyecta con la ciudadanía. </t>
  </si>
  <si>
    <t>Producir material informativo con información cultural del cantón, en coordinación con la Comisión de Cultura quien está a cargo de divulgar y promover la cultura Herediana.</t>
  </si>
  <si>
    <t>Implementar acciones  a nivel interno para mejorar la comunicación y divulgación de resultados obtenidos, mediante la aplicación de acciones resultantes del Diagnostico de Comunicación Interna.</t>
  </si>
  <si>
    <t>Continuar la revision e implementacion  por recepcion de garantias mediante depositos electronicosy otros mecanismos virtuales</t>
  </si>
  <si>
    <t>Dar continuidad al proceso de pagos por medios electronicos, mejorando en base a la experiencia adquirida</t>
  </si>
  <si>
    <t>Realizar un  informe de evaluación del Plan de Desarrollo Municipal a mediano plazo al año.</t>
  </si>
  <si>
    <t>Enlazar el 20% las bases de datos de la E.S.P.H. y la del municipio, por medio de la actualización de 13200 registros durante el año 2013</t>
  </si>
  <si>
    <t>Realizar una capacitación  para  funcionarios municipales en materia de Salud Ocupacional</t>
  </si>
  <si>
    <t>Implementacion de proyecto Seguridad Herediana Digital por medio de la realización de varias reuniones.</t>
  </si>
  <si>
    <t>Realizar reuniones con el fin de implementar  un proyecto de integración institucional para mejorar la seguridad ciudadana, mediante convenios, capacitaciones, redes de comunicación unificada, acceso al sistema de monitoreo y programas preventivos con las diferentes  Policías Administrativas y represivas.</t>
  </si>
  <si>
    <t>Realizar reuniones para coordinar el proyecto de integración institucional para mejorar la seguridad ciudadana, mediante convenios, capacitaciones, redes de comunicación unificada, acceso al sistema de monitoreo y programas preventivos con las diferentes  Policías Administrativas y represivas.</t>
  </si>
  <si>
    <t>Crear una sub unidad de Seguridad Comunitaria para capacitar a las comunidades de forma permanente por medio de la capacitación de cuatro oficiales</t>
  </si>
  <si>
    <t>.Realizar una reunión anual  de coordinación con los lideres comunales.</t>
  </si>
  <si>
    <t>Realizar una reunión anual  de coordinación con los lideres comunales.</t>
  </si>
  <si>
    <t>Realizar 12 reuniones anuales con las comunidades</t>
  </si>
  <si>
    <t>Realizar cinco capacitaciones anuales en comunidades "Ojos y Oídos".</t>
  </si>
  <si>
    <t>Realizar  22 capacitaciones anuales en comunidades "Ojos y Oídos".</t>
  </si>
  <si>
    <t>Presentar propuesta a la Alcaldía Municipal para poder realizar convenios con las Asociaciones de Desarrollo, para préstamos de oficinas y creación plazas por subdelegación.</t>
  </si>
  <si>
    <t>Coordinar con la Alcaldía la implementación paulatina de cámaras de seguridad en todo el cantón.</t>
  </si>
  <si>
    <t>Realizar la coordinación con la Dirección regional  del MEP para implementar proyecto.</t>
  </si>
  <si>
    <t>Realizar dos reuniones anuales para enlazar a todas la instituciones de primaria y secundaria del Cantón central de Heredia.</t>
  </si>
  <si>
    <t>Realizar 18 presentaciones anuales  con la Unidad K-9 para prevenir la delincuencia juvenil y el consumo de drogas</t>
  </si>
  <si>
    <t>Realizar 24 presentaciones anuales  con la Unidad K-9 para prevenir la delincuencia juvenil y el consumo de drogas</t>
  </si>
  <si>
    <t>Realizar 9 operativos antidrogas mínimos  por año.</t>
  </si>
  <si>
    <t>Realizar 20 operativos antidrogas mínimos  por año.</t>
  </si>
  <si>
    <t xml:space="preserve"> Limpieza  del 100% de  las vías del  Distrito  Central </t>
  </si>
  <si>
    <t xml:space="preserve"> Limpieza de  parques   del Cantón Central de Heredia</t>
  </si>
  <si>
    <t>Realizar al menos 12 inspecciones mensuales en el servicio de Recolección y Transporte de Residuos Sólidos
Realizar al menos 8 inspecciones mensuales en el servicio de disposición final de Residuos SólidosAl menos 1200 panfletos educativos distribuidos al año sobre manejo de residuos sólidos.</t>
  </si>
  <si>
    <t>Realizar el mantenimiento y jardinería en las áreas verdes</t>
  </si>
  <si>
    <t>Realizar el levantamiento físico de 1500 expedientes y derechos en campo</t>
  </si>
  <si>
    <t>Realizar 2 capacitaciones anuales  de acuerdo  a las necesidades laborales del Cantón. (6.1.1.1)</t>
  </si>
  <si>
    <t>Realizar dos capacitaciones anuales de acuerdo a las necesidades del cantón.</t>
  </si>
  <si>
    <t>Realizar 1 capacitación anual en materia de empresarialidad. (6.1.1.2)</t>
  </si>
  <si>
    <t xml:space="preserve">Realizar 1 capacitación anual en materia de empresarialidad. </t>
  </si>
  <si>
    <t>Coordinar  el proceso de Presupuesto Participativo para la asignación de recursos para el año 2014</t>
  </si>
  <si>
    <t xml:space="preserve">Coordinar con la Oficina de la Mujer una capacitación de las Asociaciones de Desarrollo y Concejos de Distrito en temas de elaboración de proyectos con perspectiva de género. </t>
  </si>
  <si>
    <t>Realizar los estudios de prefactibilidad y factibilidad, el diseño y Construcción de la primera Etapa del Proyecto "Complejo Turístico  las Chorreras"</t>
  </si>
  <si>
    <t>Realizar 4 actividades</t>
  </si>
  <si>
    <t>Realizar 34 actividades anuales que promuevan  la actividad turística, ecológica, artesanal y cultural</t>
  </si>
  <si>
    <t>Realizar las gestiones para complementar la gestión de recursos materiales y económicos para la apertura del Centro Infantil Municipal</t>
  </si>
  <si>
    <t xml:space="preserve">Brindar espacios para el cuido de personas menores de edad paralelos a los procesos de capacitación que desarrollen todas las unidades administrativas de la Municipalidad con las Comunidades. </t>
  </si>
  <si>
    <t xml:space="preserve">Desarrollar una campaña de prevención del abuso sexual dirigida a PME en edad preescolar, I y II Ciclo,  que incluya a docentes, padres y madres y comunidad estudiantil, en tres escuelas del Cantón Central. </t>
  </si>
  <si>
    <t>Implementar un plan estratégico conjunto municipalidad y Centros Diurnos para la atención de las necesidades identificadas.</t>
  </si>
  <si>
    <t xml:space="preserve">Promover ferias de la salud en las comunidades para facilitar el acceso a los servicios de atención médica a las comunidades en general y a las mujeres en particular. </t>
  </si>
  <si>
    <t>Desarrollar el programa "Bebé, Piénsalo Bien" con al menos 12 grupos de jóvenes insertos y excluidos del sistema educativo</t>
  </si>
  <si>
    <t>Realizar una actividad de promoción para ocupar plazas de oficios considerados "no tradicionales" para las mujeres.</t>
  </si>
  <si>
    <t>Capacitar por medio de dos talleres anuales a personal de primer ingreso en temas de género, igualdad y equidad, así como el uso de lenguaje inclusivo. 
.Incorporar en el proceso de inducción del personal de primer ingreso, el uso del lenguaje inclusivo.</t>
  </si>
  <si>
    <t>Segregar la base de datos incorporando la variable sexo, por medio de la actulización de 13200 registros durante el año 2013</t>
  </si>
  <si>
    <t xml:space="preserve">Desarrollar 14 actividades de capacitación  y sensibilización en temas  de igualdad y equidad, derechos humanos, masculinidades, feminidades, respeto a la diversidad entre otros.  
Campaña para erradicación de la Violencia de Género : "Heredia + Equitativa"Desarrollar un programa de capacitación permanente dirigido al personal y autoridades municipales, en temas de igualdad y equidad, derechos humanos, </t>
  </si>
  <si>
    <t xml:space="preserve">Elaborar una guía para el uso de lenguaje inclusivo en la redacción de documentos oficiales y otros.
Utilizar lenguaje inclusivo en todos los documentos oficiales, comunicados, campañas, sitio web y otros. </t>
  </si>
  <si>
    <t>Campaña para erradicación de la Violencia de Género : "Heredia + Equitativa"</t>
  </si>
  <si>
    <t xml:space="preserve">Dar seguimiento a las acciones programadas para la integración de juegos cooperativos que promueve la Municipalidad de Heredia. </t>
  </si>
  <si>
    <t xml:space="preserve">Realizar  talleres de capacitación para dar a conocer las manifestaciones del hostigamiento sexual así como  la normativa y el  procedimiento institucional para proteger los derechos de las personas afectadas por esta problemática
Realizar cuatro talleres de capactitación al personal municipal sobre Hostigamiento Sexual en el Empleo. </t>
  </si>
  <si>
    <t>Campaña Anual para la prevención del Hostigamiento Sexual en el Empleo y la Docencia dirigido al Sector Educación y EmpresarialUna campaña anual para la prevención del Hostigamiento  Sexual en el Empleo  y la Docencia y la divulgación de la legislación vigente.
Campaña Anual para la prevención del Hostigamiento Sexual en el Empleo y la Docencia dirigido al Sector Educación y Empresarial</t>
  </si>
  <si>
    <t xml:space="preserve">Coordinar los servicios especializados para la asesoría legal de personas víctimas de violencia de género. </t>
  </si>
  <si>
    <t xml:space="preserve">Desarrollar cuatro talleres de capacitación dirigidos a la policía municipal sobre: Violencia Intrafamilair, Intervención en Crisis, Protocolo de Intervención en casos de Asalto Sexual y Abusos Sexual Infantil. </t>
  </si>
  <si>
    <t xml:space="preserve">Participar de 12 reuniones y actividades programadas por la Red de Atención y Prevención de la Violencia Intrafamiliar </t>
  </si>
  <si>
    <t xml:space="preserve">Desarrollar un taller de capacitación sobre participación política y liderazgo de las mujeres dirigido a lideresas comunales. </t>
  </si>
  <si>
    <t>Desarrollar un encuentro anual de lideres y lideresas del Cantón</t>
  </si>
  <si>
    <t>Divulgar de manera permanente a las comunidades sobre los trámites que realiza la Municipalidad, mediante la realización de 4 campañas publicitarias</t>
  </si>
  <si>
    <t>Apoyar la gestión de Centros Diurnos de Atención Especializados para personas con discapacidad de diferentes edades, por medio de la ejecución de un plan estratégico.</t>
  </si>
  <si>
    <t>Publicar en el sitio web la información que aporte la Comisión de Accesibilidad.</t>
  </si>
  <si>
    <t xml:space="preserve">Ejecución en almenos un 25% de plan de apoyos a las ONG del Cantón Central de Heredia, con la participación de entidades públicas representadas en el municipio tomando enc uenta sus competencias. </t>
  </si>
  <si>
    <t xml:space="preserve">Realizar  1200  revisisiones para verificar que en  el  otorgamiento de patentes y otras autorizaciones similares,  se fiscalizará el cumplimiento de la ley 7600 y su reglamento. </t>
  </si>
  <si>
    <t xml:space="preserve">Envío de 1500 notificaciónes a los propietarios de establecimientos que no cumplen con las especificaciones de accesibilidad de la ley 7600 y su reglamento, a fin de que efectúen en un tiempo prudencial  las adecuaciones pertinentes. </t>
  </si>
  <si>
    <t>Realizar 1500 inspecciones para dar cumplimiento de la ley 7600 y su reglamentos en los establecimientos notificados.</t>
  </si>
  <si>
    <t>Presupuesto Participativo</t>
  </si>
  <si>
    <t>AREA ESTRATEGICA:  GESTION AMBIENTAL Y ORDENAMIENTO TERRITORIAL</t>
  </si>
  <si>
    <t>AREA ESTRATEGICA: DESARROLLO ECONOMICO SOSTENIBLE</t>
  </si>
  <si>
    <t>% cump.</t>
  </si>
  <si>
    <t>% alcanzado</t>
  </si>
  <si>
    <t>Realizar la señalización informativa en el casco Central de Heredia con las nomenclatura de Calles y Avenidas.(PE-01-2012)</t>
  </si>
  <si>
    <t xml:space="preserve">Reforestar 2 km anuales de kas zona de proteccion de los ríos y parque municipales ubicados en la microcuencas más vulnerables del cantón </t>
  </si>
  <si>
    <t>Realizar el cambio paulatino de las especies que ubican en 2 parques heredianos por año</t>
  </si>
  <si>
    <t>Programa de Bandera Azul</t>
  </si>
  <si>
    <t>Se realizó una depuración donde se revisron fincas con valor cero sin medidas , pero el trabajo es demasiado amplio, ya que se detectaron problemas con cédulas y una serie de fallecidos, que poseen cobros para lo cula se deben de abrir procesos nortuales, por lo que el trabajo no se concluyó y más bien dicha depuración se presentó como parte de un plan ante la CGR.</t>
  </si>
  <si>
    <t>Se trabajó en la implementación y se avanzó en direrentes áreas , pero no se logró su implementación total , por disposición CGR, hasta noviembre del 2014 y genera informes a los 15 días , se está trabajando para bajar el plazo</t>
  </si>
  <si>
    <t>Se crearon dos políticas , una en contratación de personal en puesto " no tradicionales" y otra política en Salud Ocupacional, se está a la espera de aprobación por parte del Concejo Municipal para su debida implementación.</t>
  </si>
  <si>
    <t>Por falta de presupuesto esta meta no se pudo ejecutar en el año 2013, se ejecutará 2013</t>
  </si>
  <si>
    <t>Se presentó el contrato de fidecomiso y el desarrollo del proyecto, quedando pendiente la firma del contrato, los estudios de factibilidad se harían por el fidecomiso, lo cual se podrán hacer hasta que éste quede conformado.</t>
  </si>
  <si>
    <t>Pendiente revisión del informe  del estudio conclurá enero</t>
  </si>
  <si>
    <t>Se adquirió sistema para realizar la Autoevaluación de control interno está en proceso de implementación</t>
  </si>
  <si>
    <t>Este proceso es lento ya que se requiere de la coordinación con el Depto. Rentas y Cobranzas</t>
  </si>
  <si>
    <t>No se realizó el estudio debido a que se cuenta con el estudio que remite el OIJ y con el fin de no dupliar esfuerzo se trabaja con esa información. Se indica como cumplida debido a que  la información existe lo que vario fue quien la ejecutó</t>
  </si>
  <si>
    <t>Por directriz Alcaldía Municipal , durante el año no se crearon nuevas plazas de Policía Municipal</t>
  </si>
  <si>
    <t>El  buen mantenimiento de la red vial y la época lluviosa poco intensa permitió que la cantidad de huecos fuera menor, por lo que las necesidades fueron cubiertas con la mezcla colocada.</t>
  </si>
  <si>
    <t>Se está desarrollando la logística, no se ha llegado a la etapa de manejo de datos</t>
  </si>
  <si>
    <t>Cómputo 100%, Rentas y Cobranzas 9%</t>
  </si>
  <si>
    <t>Pendiente 91% Segregación base de datos por parte de Rentas y Cobranzas</t>
  </si>
  <si>
    <t>Con el recurso humano con el que cuenta el Departamento de Rentas y Cobranzas únicamente se pudo realizar este porecentaje del total programado, considerando las decalraación jurada de los formularios de patentes.</t>
  </si>
  <si>
    <t>En diciembre 2012 se adjudicó a la empresa Lao Markenting e iniciaron el proceso de investigación.  En la contratación se incluyó la elaboración del diagnóstico, el plan estrategico, la política de Accesibilidad y la Estrategia de Empleo.</t>
  </si>
  <si>
    <t>solamente se distribuyó 3 boletines y estaban programados 12</t>
  </si>
  <si>
    <t>Politica Salud Ocupacional</t>
  </si>
  <si>
    <t>Plan de Capacitacion</t>
  </si>
  <si>
    <t>Reglamento de capacitación</t>
  </si>
  <si>
    <t>Porceso revisión Dirección Juríca para enviar Concejo Municipal</t>
  </si>
  <si>
    <t>Desde el ingreso de la encargada de Slaud Ocupacional asi puesto, se ha vendio trabajndo ne Manueles de Reiesgos de Trabajo y el Plan de trabajo y el Plna de Emergaencia los cules forman parte del programa de Salud Ocupacional.  Los Manuales de Aseo de Viás área adminsitrativa y miscelaneso sya estna hechos y se presentaran a los correspondentes jefatura en el mes de enero del 2013 para su implementación y el Plan de Emergencias se encueentra una empresa contratada realizndo dese de diciembre 2012</t>
  </si>
  <si>
    <t>Incluir en el Manual Descriptivo de Clases de puestos que se realiza en coordinación con el Servicio Civil criterios de igualdad y equidad.  Incluir en la Escala Salarial que se esta trabajando conen coordinación conel Servicio Civil los criteios de igualda y equidad de género.</t>
  </si>
  <si>
    <t>No se pudo cumplir debido a que no se pudo confeccionar manual de inducción</t>
  </si>
  <si>
    <t>Unicamente queda pendiente la entrega de los brochurs que están confeccionando para incluir con la campaña</t>
  </si>
  <si>
    <t>El equipo ya fue recibido y se están realiznado las conexiones y montaje del mismo, pero no puede instalarse hasta que finalice el trabajo del sistema eléctrico..</t>
  </si>
  <si>
    <t>Se reprograma para I trimestre 2013</t>
  </si>
  <si>
    <t>Se trabajó dentro de los Domingos Heredianos con actividades como juegos tradicionales</t>
  </si>
  <si>
    <t>se realizó por medio de talleres de confeción de piñatas, cajas, macrome, gregoriano n conjunto con Casa de la Justicia, PANI y la UTN</t>
  </si>
  <si>
    <t>Se realizó capacitaciones 21,22,23,30 de agosto 2012</t>
  </si>
  <si>
    <t>Se realizaron actividades deportivas y culturales en los Domingos Heredianos por Media Calle</t>
  </si>
  <si>
    <t>Se realizaron actividades deportivas como carrreras, caminatas y la Caminata Canina.</t>
  </si>
  <si>
    <t>Actividad denominada Heredia Mía, comprende actividdes deportivas, culturales y sociales en diferentes distritos del cantón.</t>
  </si>
  <si>
    <t>Charlas de nutrición a escuelas y colegios del cantón, se traba en conjunto con el MEP, Casa de la Justicia y Ministerio de Salud</t>
  </si>
  <si>
    <t>Se han realizado reuniones de coordinación para realizar diversas actividades, pero no se ha formalizado el convenio en este año, pero queda pendiente para 2013</t>
  </si>
  <si>
    <t>Diversas fereias d ela Salud a nIvel cantonal y alos funcioanrios de la Municipalidad</t>
  </si>
  <si>
    <t>Se han realizado reuniones de coordinación con el IAFA, MEP, Casa de la Justicia, y el Ministerio de Salud para ralizar diversas activiades, pero queda pendiente la formalización del convenio.</t>
  </si>
  <si>
    <t>Se realizaó una Campaña contra el Dengue en conjunto con el Ministerio de Salud, MEP, Casa de la Justicia y CCSS</t>
  </si>
  <si>
    <t>Durante el último trimestre no se realizaorn reuniones debido a que se está proceso revisión Plan Regulador  por parte de la Dirección Jurídica.</t>
  </si>
  <si>
    <t>Se incluyó presupuesto 2013</t>
  </si>
  <si>
    <t xml:space="preserve">Estudio diseño y construcción del puente de Santa Marta.
|Estudio diseño y construcción del puente Malibu 
</t>
  </si>
  <si>
    <t>El puente Santa Marta concluye 2013</t>
  </si>
  <si>
    <t>Está a cargo de la Comisión Turiso</t>
  </si>
  <si>
    <t>Se recarpetearon 13 km</t>
  </si>
  <si>
    <t>Se reprograma para el año 2013</t>
  </si>
  <si>
    <t>AREA ESTRATEGICA: INVERSION PUBLICA</t>
  </si>
  <si>
    <t>AREA ESTRATEGICA: DESARROLLO Y GESTION INSTITUCIONAL</t>
  </si>
  <si>
    <t>AREA ESTRATEGICA: SEREVICIOS PUBLICOS</t>
  </si>
  <si>
    <t>PERIODO 2012</t>
  </si>
  <si>
    <t>EVALUACION PLAN DE DESARROLLO MUNICIPAL A MEDIANO PLAZO</t>
  </si>
  <si>
    <t>7.2.6.Coordinar acciones de divulgación permanentes dirigidas al sector empresarial y a la ciudadanía sobre la Ley contra el  Hostigamiento Sexual en el Empleo y la Docencia y sus Reformas.</t>
  </si>
  <si>
    <t>EVALUACION PERIODO 2012</t>
  </si>
  <si>
    <t>Para registrar Plan LP</t>
  </si>
  <si>
    <t>Para registrar Plan LP ( excluye 2.1.6.)</t>
  </si>
  <si>
    <t>Evaluar Plan LP</t>
  </si>
  <si>
    <t>No se ha realizado el Plan de trabajo, pero durante el año se ejecutaron las acciones tendietnes a la recuperación de los ecositemas, de los que se mencionan algunos realizados: Reforestación con el Comité de andera Azul, en Urbanización Boruca con grupos de vecinos, en la Milpa de Guararí , entre otros.  Para este año se formulará el Plan de Trabajo, de la mano con los instrumentos de Planificación que existen en la Municipalidad.</t>
  </si>
  <si>
    <t>Se han realizado reauniones, está en proceso de coordinación</t>
  </si>
  <si>
    <r>
      <t>Comisión Accesibilidad, Dirección Servicios y Gestión Ingresos,</t>
    </r>
    <r>
      <rPr>
        <sz val="11"/>
        <rFont val="Calibri"/>
        <family val="2"/>
      </rPr>
      <t xml:space="preserve"> Cómputo</t>
    </r>
  </si>
  <si>
    <t xml:space="preserve"> </t>
  </si>
  <si>
    <r>
      <rPr>
        <sz val="7"/>
        <rFont val="Times New Roman"/>
        <family val="1"/>
      </rPr>
      <t xml:space="preserve"> </t>
    </r>
    <r>
      <rPr>
        <sz val="11"/>
        <rFont val="Calibri"/>
        <family val="2"/>
        <scheme val="minor"/>
      </rPr>
      <t>Análisis y verificación de la perspectiva de la accesibilidad en las normas internas que regulan el otorgamiento de toda clase de permisos y licencias que otorga la municipalidad para garantizar el cumplimiento de la ley 7600.</t>
    </r>
  </si>
  <si>
    <t>Concluir la Ejecución Puente Santa Marta</t>
  </si>
  <si>
    <t>2.1.4.1.Recarpeteo de 15 km anuales de vías cantonales ( Quedó pendiente 3km)</t>
  </si>
  <si>
    <t>2.1.4.2.Colocación de  2000 Toneladas anuales de mezcla asfáltica  de vías cantonales en proyectos de bacheo(  quedó pendiente de colocar 726 toneladas</t>
  </si>
  <si>
    <t>Dirección Juridica</t>
  </si>
  <si>
    <t>3.4.3.1.Presentar la propuesta para valorar la viabilidad de adquirir un sistema informático para la administración de la información de Control Interno (Concluir proceso implementación)</t>
  </si>
  <si>
    <t>Control Interno</t>
  </si>
  <si>
    <t>3.8.1.3.Reglamento de Capacitación Municipal (Concluir proceso aprobación)</t>
  </si>
  <si>
    <t>Recursos Humanos</t>
  </si>
  <si>
    <t>Comunicación</t>
  </si>
  <si>
    <t>3.12.1.1.Implementar acciones  a nivel interno para mejorar la comunicación y divulgación de resultados obtenidos .( concluir proceso)</t>
  </si>
  <si>
    <t>3.17.1.1. Implementar la recepción de garantías  mediante depósitos electrónicos u otros mecanismos virtuales.(concluir proceso)</t>
  </si>
  <si>
    <t>3.18.1.1.Dar continuidad al pago de servicios y proveedores por medios electrónicos..(concluir proceso)</t>
  </si>
  <si>
    <t>3.19.1.1. Realizar las acciones pertinentes para adquirir y poner en funcionamiento el Sistema de grabación con video..(concluir proceso)</t>
  </si>
  <si>
    <t>Dirección Servicios y Gestión Ingresos</t>
  </si>
  <si>
    <t>3.23.1.2.Promover  acciones para la salud ocupacional del personal municipal en coordinación con el  INA y otras instituciones.. (concluir proceso)</t>
  </si>
  <si>
    <t>3.25.1.1. Diseñar al menos una política de desarrollo del talento humano  a diciembre de 2012. (concluir proceso)</t>
  </si>
  <si>
    <t>3.25.1.6. Un estudio de cargas de trabajo y productividad realizado a setiembre de 2012.</t>
  </si>
  <si>
    <t>Dirección Financiera</t>
  </si>
  <si>
    <t>Cementerios</t>
  </si>
  <si>
    <t>Comisión Turismo, Alcaldía</t>
  </si>
  <si>
    <t>OFIM</t>
  </si>
  <si>
    <t>OFIM, Recursos Humanos</t>
  </si>
  <si>
    <t>7.2.5.1.Realizar  talleres de capacitación para dar a conocer las manifestaciones del hostigamiento sexual así como  la normativa y el  procedimiento institucional para proteger los derechos de las personas afectadas por esta problemática( concluir proceso)</t>
  </si>
  <si>
    <t>OFIM, CONTRALORIA SERVICIOS, PLANIFICACION</t>
  </si>
  <si>
    <t>7.3.1.1.Realizar un diagnóstico, desde la perspectiva de género, de las necesidades e intereses de las personas que asisten a Centros Diurnos para personas con Discapacidad. (CONCLUIR PROCESO)</t>
  </si>
  <si>
    <t>7.3.2.1.Realizar el diagnóstico de las necesidades de las personas con discapacidad del cantón Central de Heredia (CONCLUIR PROCESO)</t>
  </si>
  <si>
    <t>7.3.1.3.Desarrollar plan de trabajo vinculado al plan estratégico elaborado. (CONCLUIR PROCESO)</t>
  </si>
  <si>
    <t>7.3.7.1.Identificación de necesidades de recurso de las organizaciones del cantón central de Heredia que brindan servicios a personas con discapacidad. (CONCLUIR PROCESO)</t>
  </si>
  <si>
    <t>7.3.7.2.Elaboración de un plan de apoyos a las ONG del cantón de Heredia, con la participación de entidades públicas representadas en el municipio,  tomando en cuenta sus competencias. (CONCLUIR PROCESO)</t>
  </si>
  <si>
    <t>7.3.8.2.Se inspeccionará el total de establecimientos que brindan servicios al público, cuyas autorizaciones fueron otorgadas antes de diciembre de 2010,  a fin de determinar  el cumplimiento  o no de las especificaciones de la ley 7600 y su reglamento en materia de accesibilidad. (CONCLUIR PROCESO)</t>
  </si>
  <si>
    <t>7.3.8.3.Envío de una notificación a los propietarios de establecimientos que no cumplen con las especificaciones de accesibilidad de la ley 7600 y su reglamento, a fin de que efectúen en un tiempo prudencial  las adecuaciones pertinentes. (CONCLUIR PROCESO)</t>
  </si>
  <si>
    <t>7.3.8.4.Inspeccionar el cumplimiento de la ley 7600 y su reglamentos en los establecimientos notificados.(CONCLUIR PROCESO)</t>
  </si>
  <si>
    <t>7.6.1.2.Un convenio formalizado con la CCSS para la vida saludable y prevención de la salud a junio 2012.(CONCLUIR PROCESO)</t>
  </si>
  <si>
    <t>VICE ALCALDIA</t>
  </si>
  <si>
    <t>7.6.1.4. Formalizar un  convenio con el MEP para la educación en salud preventiva a las comunidades del cantón de Heredia, a diciembre 2012.(CONCLUIR PROCESO)</t>
  </si>
  <si>
    <t>RECURSOS HUMANOS( BOLSA DE EMPLEO)</t>
  </si>
  <si>
    <t>METAS PENDIENTES DE CUMPLIR 100%  PERIODO 2012</t>
  </si>
  <si>
    <t>META</t>
  </si>
  <si>
    <t>% CUMPLIMIENTO</t>
  </si>
  <si>
    <t>Se incluyó Presupuesto 2013</t>
  </si>
  <si>
    <t>De la meta programada en el POA 2012, quedó pendiente realizar algunas reuniones debido a que el Plan está revisión Dirección Jurídica.</t>
  </si>
  <si>
    <t>Se realizaron varias actividades relacionadas , sin embargo el Plan se formulara durante el año 2013</t>
  </si>
  <si>
    <t>Concluye a principios 2013</t>
  </si>
  <si>
    <t>Se recarpeteó 13 km</t>
  </si>
  <si>
    <t>Proceso de revisión Dirección Jurídica para enviar al Concejo Municipal</t>
  </si>
  <si>
    <t>Ünicamente se distribuyó 3 boletines y estaban programados 12</t>
  </si>
  <si>
    <t>Se han realizado reuniones, está en proceso de coordinación</t>
  </si>
  <si>
    <t>3.22.1.1.Gestionar la firma de un convenio específico entre la Municipalidad de Heredia y la E.S.P.H. (distribuir recibos de servicios públicos y los tributos municipales).)</t>
  </si>
  <si>
    <t>Se está desarrollando la logística, no seha llegado a la etapa de manejo de datos.</t>
  </si>
  <si>
    <t>Se crearon dos políticas una en contratación  de personal y otra en Salud Ocupacional, están espera aprobación por parte Concejo</t>
  </si>
  <si>
    <t>Por falta de presupuesto no se pudo ejecutar 2012, se programa 2013</t>
  </si>
  <si>
    <t>Proceso.</t>
  </si>
  <si>
    <t>Proceso</t>
  </si>
  <si>
    <t>Esta meta debe de modificarse ya que no es recomendable por el momento crear más plazas.</t>
  </si>
  <si>
    <t>Proceso de coordinación.</t>
  </si>
  <si>
    <t>Es un proceso lento, se continuará 2013</t>
  </si>
  <si>
    <t>Está a cargo de la Comisión Turismo</t>
  </si>
  <si>
    <t>Se reprograma 2013</t>
  </si>
  <si>
    <t>No se pudo cumplir debido a que no se pudo confeccionar manual inducción.</t>
  </si>
  <si>
    <t>Proceso de ejecución</t>
  </si>
  <si>
    <t>Únicamente queda pendiente la entrega de los brochurs que está confeccionando para concluir con la campaña.</t>
  </si>
  <si>
    <t>Con el recurso humano con el que cuenta el Departamento de Rentas y Cobranzas únicamente se pudo realizar este porecentaje del total programado, considerando las declaración jurada de los formularios de patentes.</t>
  </si>
  <si>
    <t>El convenio se  formalizará durante el año 2013</t>
  </si>
</sst>
</file>

<file path=xl/styles.xml><?xml version="1.0" encoding="utf-8"?>
<styleSheet xmlns="http://schemas.openxmlformats.org/spreadsheetml/2006/main">
  <fonts count="26">
    <font>
      <sz val="11"/>
      <color theme="1"/>
      <name val="Calibri"/>
      <family val="2"/>
      <scheme val="minor"/>
    </font>
    <font>
      <b/>
      <sz val="11"/>
      <color indexed="8"/>
      <name val="Calibri"/>
      <family val="2"/>
    </font>
    <font>
      <b/>
      <sz val="16"/>
      <color indexed="8"/>
      <name val="Calibri"/>
      <family val="2"/>
    </font>
    <font>
      <b/>
      <sz val="10"/>
      <color indexed="8"/>
      <name val="Calibri"/>
      <family val="2"/>
    </font>
    <font>
      <sz val="9"/>
      <color indexed="81"/>
      <name val="Tahoma"/>
      <family val="2"/>
    </font>
    <font>
      <b/>
      <sz val="9"/>
      <color indexed="81"/>
      <name val="Tahoma"/>
      <family val="2"/>
    </font>
    <font>
      <sz val="11"/>
      <name val="Arial"/>
      <family val="2"/>
    </font>
    <font>
      <sz val="8"/>
      <name val="Calibri"/>
      <family val="2"/>
    </font>
    <font>
      <b/>
      <sz val="11"/>
      <color theme="1"/>
      <name val="Calibri"/>
      <family val="2"/>
      <scheme val="minor"/>
    </font>
    <font>
      <sz val="10"/>
      <name val="Arial"/>
      <family val="2"/>
    </font>
    <font>
      <sz val="11"/>
      <color theme="1"/>
      <name val="Arial"/>
      <family val="2"/>
    </font>
    <font>
      <sz val="11"/>
      <name val="Calibri"/>
      <family val="2"/>
      <scheme val="minor"/>
    </font>
    <font>
      <b/>
      <sz val="11"/>
      <name val="Calibri"/>
      <family val="2"/>
      <scheme val="minor"/>
    </font>
    <font>
      <b/>
      <sz val="16"/>
      <name val="Calibri"/>
      <family val="2"/>
    </font>
    <font>
      <b/>
      <sz val="11"/>
      <name val="Calibri"/>
      <family val="2"/>
    </font>
    <font>
      <b/>
      <sz val="10"/>
      <name val="Arial"/>
      <family val="2"/>
    </font>
    <font>
      <sz val="7"/>
      <name val="Times New Roman"/>
      <family val="1"/>
    </font>
    <font>
      <sz val="12"/>
      <name val="Calibri"/>
      <family val="2"/>
    </font>
    <font>
      <sz val="11"/>
      <name val="Calibri"/>
      <family val="2"/>
    </font>
    <font>
      <sz val="10"/>
      <name val="Calibri"/>
      <family val="2"/>
    </font>
    <font>
      <sz val="10"/>
      <color theme="1"/>
      <name val="Arial"/>
      <family val="2"/>
    </font>
    <font>
      <b/>
      <sz val="18"/>
      <color indexed="8"/>
      <name val="Calibri"/>
      <family val="2"/>
    </font>
    <font>
      <b/>
      <sz val="18"/>
      <name val="Calibri"/>
      <family val="2"/>
    </font>
    <font>
      <b/>
      <sz val="10"/>
      <name val="Calibri"/>
      <family val="2"/>
    </font>
    <font>
      <b/>
      <sz val="14"/>
      <name val="Calibri"/>
      <family val="2"/>
    </font>
    <font>
      <b/>
      <sz val="12"/>
      <color theme="1"/>
      <name val="Calibri"/>
      <family val="2"/>
      <scheme val="minor"/>
    </font>
  </fonts>
  <fills count="19">
    <fill>
      <patternFill patternType="none"/>
    </fill>
    <fill>
      <patternFill patternType="gray125"/>
    </fill>
    <fill>
      <patternFill patternType="solid">
        <fgColor indexed="3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FFFF"/>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00"/>
        <bgColor indexed="64"/>
      </patternFill>
    </fill>
    <fill>
      <patternFill patternType="solid">
        <fgColor theme="7" tint="0.39997558519241921"/>
        <bgColor indexed="64"/>
      </patternFill>
    </fill>
    <fill>
      <patternFill patternType="solid">
        <fgColor indexed="9"/>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0"/>
        <bgColor indexed="64"/>
      </patternFill>
    </fill>
    <fill>
      <patternFill patternType="solid">
        <fgColor theme="4"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9" fillId="0" borderId="0"/>
  </cellStyleXfs>
  <cellXfs count="408">
    <xf numFmtId="0" fontId="0" fillId="0" borderId="0" xfId="0"/>
    <xf numFmtId="0" fontId="0" fillId="0" borderId="1" xfId="0" applyBorder="1" applyAlignment="1">
      <alignment horizontal="justify" vertical="top"/>
    </xf>
    <xf numFmtId="0" fontId="0" fillId="0" borderId="1" xfId="0" applyBorder="1"/>
    <xf numFmtId="0" fontId="0" fillId="0" borderId="1" xfId="0" applyBorder="1" applyAlignment="1">
      <alignment horizontal="justify"/>
    </xf>
    <xf numFmtId="0" fontId="0" fillId="0" borderId="0" xfId="0" applyFill="1" applyBorder="1"/>
    <xf numFmtId="9" fontId="0" fillId="0" borderId="1" xfId="0" applyNumberFormat="1" applyBorder="1" applyAlignment="1">
      <alignment horizontal="center" vertical="center"/>
    </xf>
    <xf numFmtId="0" fontId="0" fillId="0" borderId="1" xfId="0" applyFont="1" applyBorder="1" applyAlignment="1">
      <alignment horizontal="justify" vertical="top"/>
    </xf>
    <xf numFmtId="0" fontId="0" fillId="0" borderId="1" xfId="0" applyFill="1" applyBorder="1" applyAlignment="1">
      <alignment horizontal="justify" vertical="top"/>
    </xf>
    <xf numFmtId="0" fontId="0" fillId="0" borderId="2" xfId="0" applyBorder="1" applyAlignment="1">
      <alignment horizontal="justify" vertical="top"/>
    </xf>
    <xf numFmtId="0" fontId="0" fillId="0" borderId="1" xfId="0" applyFill="1" applyBorder="1" applyAlignment="1">
      <alignment horizontal="justify"/>
    </xf>
    <xf numFmtId="0" fontId="0" fillId="0" borderId="8" xfId="0" applyBorder="1" applyAlignment="1">
      <alignment horizontal="justify" vertical="top"/>
    </xf>
    <xf numFmtId="9" fontId="0" fillId="2" borderId="1" xfId="0" applyNumberFormat="1" applyFill="1" applyBorder="1" applyAlignment="1">
      <alignment horizontal="center" vertical="center"/>
    </xf>
    <xf numFmtId="4" fontId="6" fillId="0" borderId="13" xfId="0" applyNumberFormat="1" applyFont="1" applyFill="1" applyBorder="1" applyAlignment="1" applyProtection="1">
      <alignment horizontal="justify" vertical="top"/>
      <protection locked="0"/>
    </xf>
    <xf numFmtId="0" fontId="9" fillId="0" borderId="1" xfId="0" applyFont="1" applyFill="1" applyBorder="1" applyAlignment="1" applyProtection="1">
      <alignment horizontal="justify" vertical="top"/>
      <protection locked="0"/>
    </xf>
    <xf numFmtId="0" fontId="9" fillId="0" borderId="1" xfId="0" applyFont="1" applyFill="1" applyBorder="1" applyAlignment="1" applyProtection="1">
      <alignment horizontal="justify" vertical="center"/>
      <protection locked="0"/>
    </xf>
    <xf numFmtId="0" fontId="0" fillId="0" borderId="7" xfId="0" applyBorder="1" applyAlignment="1">
      <alignment horizontal="justify" vertical="top"/>
    </xf>
    <xf numFmtId="0" fontId="0" fillId="0" borderId="1" xfId="0" applyBorder="1" applyAlignment="1">
      <alignment horizontal="justify" vertical="top"/>
    </xf>
    <xf numFmtId="0" fontId="8" fillId="0" borderId="1" xfId="0" applyFont="1" applyBorder="1" applyAlignment="1">
      <alignment horizontal="justify" vertical="top"/>
    </xf>
    <xf numFmtId="17" fontId="10" fillId="0" borderId="1" xfId="0" applyNumberFormat="1" applyFont="1" applyBorder="1" applyAlignment="1">
      <alignment horizontal="center" vertical="center"/>
    </xf>
    <xf numFmtId="0" fontId="3" fillId="7" borderId="1" xfId="0" applyFont="1" applyFill="1" applyBorder="1" applyAlignment="1">
      <alignment horizontal="center" vertical="center"/>
    </xf>
    <xf numFmtId="0" fontId="1" fillId="7" borderId="1" xfId="0" applyFont="1" applyFill="1" applyBorder="1" applyAlignment="1"/>
    <xf numFmtId="0" fontId="1" fillId="7" borderId="12" xfId="0" applyFont="1" applyFill="1" applyBorder="1" applyAlignment="1"/>
    <xf numFmtId="0" fontId="1" fillId="7" borderId="6" xfId="0" applyFont="1" applyFill="1" applyBorder="1" applyAlignment="1"/>
    <xf numFmtId="0" fontId="3" fillId="7" borderId="6" xfId="0" applyFont="1" applyFill="1" applyBorder="1" applyAlignment="1">
      <alignment horizontal="center" vertical="center"/>
    </xf>
    <xf numFmtId="0" fontId="8" fillId="4" borderId="1" xfId="0" applyFont="1" applyFill="1" applyBorder="1" applyAlignment="1">
      <alignment horizontal="center" vertical="center"/>
    </xf>
    <xf numFmtId="0" fontId="0" fillId="0" borderId="6" xfId="0" applyBorder="1" applyAlignment="1">
      <alignment horizontal="justify" vertical="top"/>
    </xf>
    <xf numFmtId="17" fontId="0" fillId="8" borderId="1" xfId="0" applyNumberFormat="1" applyFont="1" applyFill="1" applyBorder="1" applyAlignment="1">
      <alignment horizontal="center" vertical="top"/>
    </xf>
    <xf numFmtId="17" fontId="10" fillId="8" borderId="16" xfId="0" applyNumberFormat="1" applyFont="1" applyFill="1" applyBorder="1" applyAlignment="1">
      <alignment horizontal="center" vertical="top"/>
    </xf>
    <xf numFmtId="17" fontId="10" fillId="8" borderId="1" xfId="0" applyNumberFormat="1" applyFont="1" applyFill="1" applyBorder="1" applyAlignment="1">
      <alignment horizontal="center" vertical="top"/>
    </xf>
    <xf numFmtId="0" fontId="0" fillId="0" borderId="6" xfId="0" applyFont="1" applyBorder="1" applyAlignment="1">
      <alignment horizontal="justify" vertical="top"/>
    </xf>
    <xf numFmtId="0" fontId="0" fillId="0" borderId="6" xfId="0" applyBorder="1"/>
    <xf numFmtId="0" fontId="11" fillId="0" borderId="0" xfId="0" applyFont="1"/>
    <xf numFmtId="0" fontId="13" fillId="0" borderId="0" xfId="0" applyFont="1" applyAlignment="1">
      <alignment horizontal="center"/>
    </xf>
    <xf numFmtId="0" fontId="12" fillId="4" borderId="1" xfId="0" applyFont="1" applyFill="1" applyBorder="1" applyAlignment="1">
      <alignment horizontal="center" vertical="center"/>
    </xf>
    <xf numFmtId="0" fontId="11" fillId="0" borderId="1" xfId="0" applyFont="1" applyFill="1" applyBorder="1"/>
    <xf numFmtId="0" fontId="11" fillId="0" borderId="1" xfId="0" applyFont="1" applyBorder="1" applyAlignment="1">
      <alignment horizontal="justify" vertical="top"/>
    </xf>
    <xf numFmtId="0" fontId="12" fillId="0" borderId="1" xfId="0" applyFont="1" applyFill="1" applyBorder="1" applyAlignment="1">
      <alignment horizontal="justify" vertical="top"/>
    </xf>
    <xf numFmtId="17" fontId="6" fillId="0" borderId="1" xfId="0" applyNumberFormat="1" applyFont="1" applyBorder="1" applyAlignment="1">
      <alignment horizontal="center" vertical="center"/>
    </xf>
    <xf numFmtId="0" fontId="12" fillId="0" borderId="1" xfId="0" applyFont="1" applyBorder="1" applyAlignment="1">
      <alignment horizontal="justify" vertical="top"/>
    </xf>
    <xf numFmtId="17" fontId="11" fillId="0" borderId="1" xfId="0" applyNumberFormat="1" applyFont="1" applyBorder="1" applyAlignment="1">
      <alignment horizontal="center" vertical="center"/>
    </xf>
    <xf numFmtId="0" fontId="0" fillId="0" borderId="4" xfId="0" applyBorder="1" applyAlignment="1">
      <alignment horizontal="justify" vertical="top"/>
    </xf>
    <xf numFmtId="0" fontId="0" fillId="9" borderId="0" xfId="0" applyFill="1"/>
    <xf numFmtId="0" fontId="0" fillId="9" borderId="1" xfId="0" applyFill="1" applyBorder="1"/>
    <xf numFmtId="49" fontId="9" fillId="10" borderId="1" xfId="0" applyNumberFormat="1" applyFont="1" applyFill="1" applyBorder="1" applyAlignment="1">
      <alignment horizontal="justify" vertical="top" wrapText="1"/>
    </xf>
    <xf numFmtId="49" fontId="15" fillId="10" borderId="1" xfId="0" applyNumberFormat="1" applyFont="1" applyFill="1" applyBorder="1" applyAlignment="1">
      <alignment horizontal="justify" vertical="top" wrapText="1"/>
    </xf>
    <xf numFmtId="49" fontId="8" fillId="10" borderId="1" xfId="0" applyNumberFormat="1" applyFont="1" applyFill="1" applyBorder="1" applyAlignment="1">
      <alignment horizontal="justify" vertical="top" wrapText="1"/>
    </xf>
    <xf numFmtId="0" fontId="0" fillId="11" borderId="1" xfId="0" applyFont="1" applyFill="1" applyBorder="1" applyAlignment="1">
      <alignment horizontal="justify" vertical="top"/>
    </xf>
    <xf numFmtId="0" fontId="0" fillId="11" borderId="1" xfId="0" applyFill="1" applyBorder="1" applyAlignment="1">
      <alignment horizontal="justify" vertical="top"/>
    </xf>
    <xf numFmtId="0" fontId="0" fillId="0" borderId="1" xfId="0" applyFont="1" applyFill="1" applyBorder="1" applyAlignment="1">
      <alignment horizontal="justify" vertical="top"/>
    </xf>
    <xf numFmtId="0" fontId="11" fillId="0" borderId="1" xfId="0" applyFont="1" applyFill="1" applyBorder="1" applyAlignment="1">
      <alignment horizontal="justify" vertical="top"/>
    </xf>
    <xf numFmtId="17" fontId="6" fillId="0" borderId="1" xfId="0" applyNumberFormat="1" applyFont="1" applyFill="1" applyBorder="1" applyAlignment="1">
      <alignment horizontal="center" vertical="center"/>
    </xf>
    <xf numFmtId="17" fontId="11" fillId="0" borderId="1" xfId="0" applyNumberFormat="1" applyFont="1" applyFill="1" applyBorder="1" applyAlignment="1">
      <alignment horizontal="center" vertical="center"/>
    </xf>
    <xf numFmtId="0" fontId="11" fillId="0" borderId="1" xfId="0" applyFont="1" applyFill="1" applyBorder="1" applyAlignment="1">
      <alignment horizontal="justify"/>
    </xf>
    <xf numFmtId="9" fontId="11" fillId="0" borderId="1" xfId="0" applyNumberFormat="1" applyFont="1" applyFill="1" applyBorder="1" applyAlignment="1">
      <alignment horizontal="center" vertical="center"/>
    </xf>
    <xf numFmtId="9" fontId="11" fillId="0" borderId="1" xfId="0" applyNumberFormat="1" applyFont="1" applyFill="1" applyBorder="1" applyAlignment="1">
      <alignment horizontal="center" vertical="top"/>
    </xf>
    <xf numFmtId="0" fontId="11" fillId="0" borderId="1" xfId="0" applyFont="1" applyFill="1" applyBorder="1" applyAlignment="1">
      <alignment horizontal="center" vertical="top"/>
    </xf>
    <xf numFmtId="0" fontId="11" fillId="0" borderId="1" xfId="0" applyFont="1" applyFill="1" applyBorder="1" applyAlignment="1">
      <alignment wrapText="1"/>
    </xf>
    <xf numFmtId="0" fontId="11" fillId="0" borderId="0" xfId="0" applyFont="1" applyFill="1"/>
    <xf numFmtId="17" fontId="11" fillId="0" borderId="1" xfId="0" applyNumberFormat="1" applyFont="1" applyFill="1" applyBorder="1" applyAlignment="1">
      <alignment horizontal="center" vertical="top"/>
    </xf>
    <xf numFmtId="0" fontId="11" fillId="0" borderId="6" xfId="0" applyFont="1" applyFill="1" applyBorder="1" applyAlignment="1">
      <alignment horizontal="justify" vertical="top"/>
    </xf>
    <xf numFmtId="0" fontId="11" fillId="0" borderId="1" xfId="0" applyFont="1" applyFill="1" applyBorder="1" applyAlignment="1">
      <alignment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xf>
    <xf numFmtId="17" fontId="6" fillId="0" borderId="1" xfId="0" applyNumberFormat="1" applyFont="1" applyFill="1" applyBorder="1" applyAlignment="1">
      <alignment horizontal="center" vertical="top"/>
    </xf>
    <xf numFmtId="0" fontId="11" fillId="0" borderId="4" xfId="0" applyFont="1" applyFill="1" applyBorder="1" applyAlignment="1">
      <alignment horizontal="justify" vertical="top"/>
    </xf>
    <xf numFmtId="0" fontId="11" fillId="0" borderId="7" xfId="0" applyFont="1" applyFill="1" applyBorder="1"/>
    <xf numFmtId="0" fontId="11" fillId="0" borderId="1" xfId="0" applyFont="1" applyFill="1" applyBorder="1" applyAlignment="1">
      <alignment horizontal="justify" wrapText="1"/>
    </xf>
    <xf numFmtId="49" fontId="11" fillId="0" borderId="1" xfId="0" applyNumberFormat="1" applyFont="1" applyFill="1" applyBorder="1" applyAlignment="1">
      <alignment horizontal="justify" vertical="top" wrapText="1"/>
    </xf>
    <xf numFmtId="0" fontId="17" fillId="0" borderId="1" xfId="0" applyFont="1" applyFill="1" applyBorder="1" applyAlignment="1">
      <alignment horizontal="left" vertical="top" wrapText="1"/>
    </xf>
    <xf numFmtId="0" fontId="11" fillId="0" borderId="1" xfId="0" applyFont="1" applyFill="1" applyBorder="1" applyAlignment="1">
      <alignment vertical="top"/>
    </xf>
    <xf numFmtId="9" fontId="11" fillId="0" borderId="1" xfId="0" applyNumberFormat="1" applyFont="1" applyFill="1" applyBorder="1" applyAlignment="1">
      <alignment vertical="top"/>
    </xf>
    <xf numFmtId="0" fontId="11" fillId="0" borderId="1" xfId="0" applyFont="1" applyFill="1" applyBorder="1" applyAlignment="1">
      <alignment horizontal="justify" vertical="top" wrapText="1"/>
    </xf>
    <xf numFmtId="9" fontId="11" fillId="0" borderId="7" xfId="0" applyNumberFormat="1" applyFont="1" applyFill="1" applyBorder="1" applyAlignment="1">
      <alignment horizontal="center" vertical="center"/>
    </xf>
    <xf numFmtId="9" fontId="11" fillId="0" borderId="1" xfId="0" applyNumberFormat="1" applyFont="1" applyFill="1" applyBorder="1"/>
    <xf numFmtId="0" fontId="18" fillId="0" borderId="1" xfId="0" applyFont="1" applyFill="1" applyBorder="1" applyAlignment="1">
      <alignment horizontal="justify" vertical="top"/>
    </xf>
    <xf numFmtId="0" fontId="19" fillId="0" borderId="1" xfId="0" applyFont="1" applyFill="1" applyBorder="1" applyAlignment="1">
      <alignment horizontal="justify" vertical="top" wrapText="1"/>
    </xf>
    <xf numFmtId="0" fontId="11" fillId="0" borderId="2" xfId="0" applyFont="1" applyFill="1" applyBorder="1" applyAlignment="1">
      <alignment horizontal="center" vertical="center"/>
    </xf>
    <xf numFmtId="0" fontId="19" fillId="0" borderId="0" xfId="0" applyFont="1" applyFill="1" applyAlignment="1">
      <alignment horizontal="justify" vertical="top" wrapText="1"/>
    </xf>
    <xf numFmtId="0" fontId="11" fillId="0" borderId="2" xfId="0" applyFont="1" applyFill="1" applyBorder="1" applyAlignment="1">
      <alignment horizontal="justify" vertical="top" wrapText="1"/>
    </xf>
    <xf numFmtId="0" fontId="11" fillId="11" borderId="1" xfId="0" applyFont="1" applyFill="1" applyBorder="1" applyAlignment="1">
      <alignment horizontal="justify" vertical="top"/>
    </xf>
    <xf numFmtId="0" fontId="11" fillId="11" borderId="1" xfId="0" applyFont="1" applyFill="1" applyBorder="1" applyAlignment="1">
      <alignment horizontal="center" vertical="top"/>
    </xf>
    <xf numFmtId="9" fontId="11" fillId="11" borderId="1" xfId="0" applyNumberFormat="1" applyFont="1" applyFill="1" applyBorder="1" applyAlignment="1">
      <alignment horizontal="center" vertical="top"/>
    </xf>
    <xf numFmtId="0" fontId="12" fillId="12" borderId="1" xfId="0" applyFont="1" applyFill="1" applyBorder="1" applyAlignment="1">
      <alignment horizontal="justify" vertical="top"/>
    </xf>
    <xf numFmtId="0" fontId="11" fillId="12" borderId="1" xfId="0" applyFont="1" applyFill="1" applyBorder="1"/>
    <xf numFmtId="0" fontId="11" fillId="12" borderId="2" xfId="0" applyFont="1" applyFill="1" applyBorder="1"/>
    <xf numFmtId="17" fontId="6" fillId="12" borderId="2" xfId="0" applyNumberFormat="1" applyFont="1" applyFill="1" applyBorder="1" applyAlignment="1">
      <alignment horizontal="center" vertical="center"/>
    </xf>
    <xf numFmtId="0" fontId="11" fillId="12" borderId="2" xfId="0" applyFont="1" applyFill="1" applyBorder="1" applyAlignment="1">
      <alignment horizontal="justify" vertical="top"/>
    </xf>
    <xf numFmtId="0" fontId="11" fillId="4" borderId="1" xfId="0" applyFont="1" applyFill="1" applyBorder="1"/>
    <xf numFmtId="0" fontId="0" fillId="0" borderId="1" xfId="0" applyFill="1" applyBorder="1" applyAlignment="1">
      <alignment horizontal="justify" vertical="top" wrapText="1"/>
    </xf>
    <xf numFmtId="0" fontId="11" fillId="0" borderId="14" xfId="0" applyFont="1" applyFill="1" applyBorder="1" applyAlignment="1">
      <alignment horizontal="justify" vertical="top"/>
    </xf>
    <xf numFmtId="17" fontId="6" fillId="0" borderId="2" xfId="0" applyNumberFormat="1" applyFont="1" applyFill="1" applyBorder="1" applyAlignment="1">
      <alignment horizontal="center" vertical="top"/>
    </xf>
    <xf numFmtId="0" fontId="11" fillId="0" borderId="2" xfId="0" applyFont="1" applyFill="1" applyBorder="1" applyAlignment="1">
      <alignment horizontal="center" vertical="top"/>
    </xf>
    <xf numFmtId="17" fontId="6" fillId="0" borderId="2" xfId="0" applyNumberFormat="1" applyFont="1" applyFill="1" applyBorder="1" applyAlignment="1">
      <alignment horizontal="center" vertical="center"/>
    </xf>
    <xf numFmtId="9" fontId="11" fillId="0" borderId="2" xfId="0" applyNumberFormat="1" applyFont="1" applyFill="1" applyBorder="1" applyAlignment="1">
      <alignment horizontal="center" vertical="center"/>
    </xf>
    <xf numFmtId="9" fontId="11" fillId="11" borderId="2" xfId="0" applyNumberFormat="1" applyFont="1" applyFill="1" applyBorder="1" applyAlignment="1">
      <alignment horizontal="center" vertical="center"/>
    </xf>
    <xf numFmtId="0" fontId="12" fillId="4" borderId="0" xfId="0" applyFont="1" applyFill="1" applyBorder="1" applyAlignment="1">
      <alignment horizontal="center" vertical="center"/>
    </xf>
    <xf numFmtId="0" fontId="0" fillId="0" borderId="1" xfId="0" applyBorder="1" applyAlignment="1">
      <alignment horizontal="justify" vertical="top"/>
    </xf>
    <xf numFmtId="0" fontId="11" fillId="0" borderId="1" xfId="0" applyFont="1" applyFill="1" applyBorder="1" applyAlignment="1">
      <alignment horizontal="justify" vertical="top"/>
    </xf>
    <xf numFmtId="0" fontId="9" fillId="0" borderId="1" xfId="0" applyFont="1" applyFill="1" applyBorder="1" applyAlignment="1" applyProtection="1">
      <alignment horizontal="justify" vertical="center" wrapText="1"/>
      <protection locked="0"/>
    </xf>
    <xf numFmtId="0" fontId="9" fillId="0" borderId="1" xfId="0" applyFont="1" applyFill="1" applyBorder="1" applyAlignment="1" applyProtection="1">
      <alignment horizontal="center" vertical="center" wrapText="1"/>
      <protection locked="0"/>
    </xf>
    <xf numFmtId="0" fontId="1" fillId="14" borderId="7" xfId="0" applyFont="1" applyFill="1" applyBorder="1" applyAlignment="1">
      <alignment horizontal="justify" vertical="center"/>
    </xf>
    <xf numFmtId="0" fontId="0" fillId="14" borderId="2" xfId="0" applyFill="1" applyBorder="1" applyAlignment="1">
      <alignment horizontal="justify" vertical="center"/>
    </xf>
    <xf numFmtId="0" fontId="6" fillId="0" borderId="1" xfId="0" applyFont="1" applyFill="1" applyBorder="1" applyAlignment="1" applyProtection="1">
      <alignment horizontal="justify" vertical="top" wrapText="1"/>
      <protection locked="0"/>
    </xf>
    <xf numFmtId="0" fontId="20" fillId="17" borderId="1" xfId="0" applyFont="1" applyFill="1" applyBorder="1" applyAlignment="1" applyProtection="1">
      <alignment horizontal="center" vertical="center" wrapText="1"/>
      <protection locked="0"/>
    </xf>
    <xf numFmtId="0" fontId="9" fillId="0" borderId="14" xfId="0" applyFont="1" applyFill="1" applyBorder="1" applyAlignment="1" applyProtection="1">
      <alignment horizontal="justify" vertical="top"/>
      <protection locked="0"/>
    </xf>
    <xf numFmtId="0" fontId="6" fillId="0" borderId="1" xfId="0" applyFont="1" applyFill="1" applyBorder="1" applyAlignment="1" applyProtection="1">
      <alignment horizontal="justify" vertical="top"/>
      <protection locked="0"/>
    </xf>
    <xf numFmtId="0" fontId="9" fillId="0" borderId="18" xfId="0" applyFont="1" applyFill="1" applyBorder="1" applyAlignment="1" applyProtection="1">
      <alignment horizontal="justify" vertical="center" wrapText="1"/>
      <protection locked="0"/>
    </xf>
    <xf numFmtId="0" fontId="9" fillId="0" borderId="6" xfId="0" applyFont="1" applyBorder="1" applyAlignment="1">
      <alignment horizontal="justify" vertical="top" wrapText="1"/>
    </xf>
    <xf numFmtId="0" fontId="11" fillId="9" borderId="1" xfId="0" applyFont="1" applyFill="1" applyBorder="1" applyAlignment="1">
      <alignment horizontal="justify" vertical="top"/>
    </xf>
    <xf numFmtId="0" fontId="11" fillId="9" borderId="2" xfId="0" applyFont="1" applyFill="1" applyBorder="1" applyAlignment="1">
      <alignment horizontal="justify" vertical="top"/>
    </xf>
    <xf numFmtId="0" fontId="11" fillId="9" borderId="1" xfId="0" applyFont="1" applyFill="1" applyBorder="1" applyAlignment="1">
      <alignment horizontal="justify"/>
    </xf>
    <xf numFmtId="0" fontId="11" fillId="9" borderId="7" xfId="0" applyFont="1" applyFill="1" applyBorder="1" applyAlignment="1">
      <alignment horizontal="justify" vertical="top"/>
    </xf>
    <xf numFmtId="9" fontId="11" fillId="16" borderId="1" xfId="0" applyNumberFormat="1" applyFont="1" applyFill="1" applyBorder="1" applyAlignment="1">
      <alignment horizontal="center" vertical="center"/>
    </xf>
    <xf numFmtId="9" fontId="11" fillId="15" borderId="1" xfId="0" applyNumberFormat="1" applyFont="1" applyFill="1" applyBorder="1" applyAlignment="1">
      <alignment horizontal="center" vertical="center"/>
    </xf>
    <xf numFmtId="0" fontId="11" fillId="15" borderId="1" xfId="0" applyFont="1" applyFill="1" applyBorder="1" applyAlignment="1">
      <alignment horizontal="center" vertical="center"/>
    </xf>
    <xf numFmtId="0" fontId="11" fillId="16" borderId="1" xfId="0" applyFont="1" applyFill="1" applyBorder="1"/>
    <xf numFmtId="0" fontId="11" fillId="11" borderId="1" xfId="0" applyFont="1" applyFill="1" applyBorder="1"/>
    <xf numFmtId="0" fontId="11" fillId="16" borderId="1" xfId="0" applyFont="1" applyFill="1" applyBorder="1" applyAlignment="1">
      <alignment horizontal="center" vertical="center"/>
    </xf>
    <xf numFmtId="9" fontId="11" fillId="15" borderId="2" xfId="0" applyNumberFormat="1" applyFont="1" applyFill="1" applyBorder="1" applyAlignment="1">
      <alignment horizontal="center" vertical="center"/>
    </xf>
    <xf numFmtId="9" fontId="11" fillId="16" borderId="1" xfId="0" applyNumberFormat="1" applyFont="1" applyFill="1" applyBorder="1" applyAlignment="1">
      <alignment horizontal="center" vertical="top"/>
    </xf>
    <xf numFmtId="0" fontId="6" fillId="0" borderId="3" xfId="0" applyFont="1" applyFill="1" applyBorder="1" applyAlignment="1" applyProtection="1">
      <alignment horizontal="justify" vertical="top"/>
      <protection locked="0"/>
    </xf>
    <xf numFmtId="0" fontId="11" fillId="0" borderId="1" xfId="0" applyFont="1" applyFill="1" applyBorder="1" applyAlignment="1">
      <alignment horizontal="justify" vertical="top"/>
    </xf>
    <xf numFmtId="9" fontId="0" fillId="0" borderId="1" xfId="0" applyNumberFormat="1" applyBorder="1" applyAlignment="1">
      <alignment horizontal="center" vertical="center"/>
    </xf>
    <xf numFmtId="9" fontId="11" fillId="0" borderId="1" xfId="0" applyNumberFormat="1" applyFont="1" applyFill="1" applyBorder="1" applyAlignment="1">
      <alignment horizontal="center" vertical="center" wrapText="1"/>
    </xf>
    <xf numFmtId="0" fontId="6" fillId="0" borderId="1" xfId="0" applyFont="1" applyBorder="1" applyAlignment="1" applyProtection="1">
      <alignment horizontal="justify" vertical="center"/>
      <protection hidden="1"/>
    </xf>
    <xf numFmtId="0" fontId="11" fillId="0" borderId="0" xfId="0" applyFont="1" applyFill="1" applyBorder="1" applyAlignment="1">
      <alignment horizontal="justify" vertical="top"/>
    </xf>
    <xf numFmtId="0" fontId="11" fillId="0" borderId="2" xfId="0" applyFont="1" applyFill="1" applyBorder="1" applyAlignment="1">
      <alignment horizontal="center" vertical="top" wrapText="1"/>
    </xf>
    <xf numFmtId="0" fontId="11" fillId="0" borderId="7" xfId="0" applyFont="1" applyFill="1" applyBorder="1" applyAlignment="1">
      <alignment horizontal="justify" vertical="top"/>
    </xf>
    <xf numFmtId="0" fontId="12" fillId="0" borderId="1" xfId="0" applyFont="1" applyFill="1" applyBorder="1" applyAlignment="1">
      <alignment horizontal="justify" vertical="top"/>
    </xf>
    <xf numFmtId="0" fontId="11" fillId="0" borderId="8" xfId="0" applyFont="1" applyFill="1" applyBorder="1" applyAlignment="1">
      <alignment horizontal="justify" vertical="top"/>
    </xf>
    <xf numFmtId="0" fontId="11" fillId="0" borderId="2" xfId="0" applyFont="1" applyFill="1" applyBorder="1" applyAlignment="1">
      <alignment horizontal="justify" vertical="top"/>
    </xf>
    <xf numFmtId="0" fontId="12" fillId="0" borderId="8" xfId="0" applyFont="1" applyFill="1" applyBorder="1" applyAlignment="1">
      <alignment horizontal="justify" vertical="top"/>
    </xf>
    <xf numFmtId="0" fontId="12" fillId="0" borderId="2" xfId="0" applyFont="1" applyFill="1" applyBorder="1" applyAlignment="1">
      <alignment horizontal="justify" vertical="top"/>
    </xf>
    <xf numFmtId="0" fontId="11" fillId="0" borderId="1" xfId="0" applyFont="1" applyFill="1" applyBorder="1" applyAlignment="1">
      <alignment horizontal="justify" vertical="top"/>
    </xf>
    <xf numFmtId="49" fontId="11" fillId="0" borderId="1" xfId="0" applyNumberFormat="1" applyFont="1" applyFill="1" applyBorder="1" applyAlignment="1">
      <alignment vertical="top" wrapText="1"/>
    </xf>
    <xf numFmtId="0" fontId="11" fillId="0" borderId="7" xfId="0" applyFont="1" applyFill="1" applyBorder="1" applyAlignment="1">
      <alignment horizontal="justify" vertical="top" wrapText="1"/>
    </xf>
    <xf numFmtId="0" fontId="11" fillId="0" borderId="1" xfId="0" applyFont="1" applyBorder="1" applyAlignment="1">
      <alignment horizontal="justify" vertical="top"/>
    </xf>
    <xf numFmtId="0" fontId="11" fillId="0" borderId="8" xfId="0" applyFont="1" applyBorder="1" applyAlignment="1"/>
    <xf numFmtId="0" fontId="11" fillId="0" borderId="2" xfId="0" applyFont="1" applyBorder="1" applyAlignment="1"/>
    <xf numFmtId="0" fontId="21" fillId="0" borderId="0" xfId="0" applyFont="1" applyAlignment="1">
      <alignment horizontal="left"/>
    </xf>
    <xf numFmtId="0" fontId="2" fillId="0" borderId="0" xfId="0" applyFont="1" applyAlignment="1"/>
    <xf numFmtId="0" fontId="0" fillId="0" borderId="0" xfId="0" applyFill="1" applyBorder="1" applyAlignment="1">
      <alignment vertical="center"/>
    </xf>
    <xf numFmtId="0" fontId="2" fillId="0" borderId="0" xfId="0" applyFont="1" applyBorder="1" applyAlignment="1"/>
    <xf numFmtId="0" fontId="11" fillId="0" borderId="0" xfId="0" applyFont="1" applyFill="1" applyBorder="1" applyAlignment="1">
      <alignment vertical="center"/>
    </xf>
    <xf numFmtId="0" fontId="13" fillId="0" borderId="0" xfId="0" applyFont="1" applyAlignment="1">
      <alignment horizontal="left"/>
    </xf>
    <xf numFmtId="0" fontId="22" fillId="0" borderId="0" xfId="0" applyFont="1" applyAlignment="1">
      <alignment horizontal="left"/>
    </xf>
    <xf numFmtId="0" fontId="11" fillId="0" borderId="0" xfId="0" applyFont="1" applyFill="1" applyBorder="1"/>
    <xf numFmtId="0" fontId="13" fillId="0" borderId="0" xfId="0" applyFont="1" applyAlignment="1"/>
    <xf numFmtId="0" fontId="14" fillId="3" borderId="1" xfId="0" applyFont="1" applyFill="1" applyBorder="1" applyAlignment="1"/>
    <xf numFmtId="0" fontId="14" fillId="9" borderId="7" xfId="0" applyFont="1" applyFill="1" applyBorder="1" applyAlignment="1">
      <alignment horizontal="justify" vertical="center"/>
    </xf>
    <xf numFmtId="0" fontId="11" fillId="0" borderId="0" xfId="0" applyFont="1" applyBorder="1"/>
    <xf numFmtId="0" fontId="23" fillId="3" borderId="1" xfId="0" applyFont="1" applyFill="1" applyBorder="1" applyAlignment="1">
      <alignment horizontal="center" vertical="center"/>
    </xf>
    <xf numFmtId="0" fontId="11" fillId="9" borderId="2" xfId="0" applyFont="1" applyFill="1" applyBorder="1" applyAlignment="1">
      <alignment horizontal="justify" vertical="center"/>
    </xf>
    <xf numFmtId="0" fontId="11" fillId="0" borderId="2" xfId="0" applyFont="1" applyBorder="1"/>
    <xf numFmtId="0" fontId="11" fillId="0" borderId="2" xfId="0" applyFont="1" applyBorder="1" applyAlignment="1">
      <alignment horizontal="justify" vertical="top"/>
    </xf>
    <xf numFmtId="9" fontId="11" fillId="0" borderId="1" xfId="0" applyNumberFormat="1" applyFont="1" applyBorder="1" applyAlignment="1">
      <alignment horizontal="left" vertical="center" wrapText="1"/>
    </xf>
    <xf numFmtId="9" fontId="11" fillId="0" borderId="1" xfId="0" applyNumberFormat="1" applyFont="1" applyBorder="1" applyAlignment="1">
      <alignment horizontal="center" vertical="center"/>
    </xf>
    <xf numFmtId="0" fontId="11" fillId="0" borderId="1" xfId="0" applyFont="1" applyBorder="1"/>
    <xf numFmtId="0" fontId="11" fillId="0" borderId="1" xfId="0" applyFont="1" applyBorder="1" applyAlignment="1">
      <alignment horizontal="center" vertical="top"/>
    </xf>
    <xf numFmtId="0" fontId="11" fillId="0" borderId="1" xfId="0" applyFont="1" applyBorder="1" applyAlignment="1">
      <alignment horizontal="justify" vertical="top" wrapText="1"/>
    </xf>
    <xf numFmtId="9" fontId="11" fillId="13" borderId="1" xfId="0" applyNumberFormat="1" applyFont="1" applyFill="1" applyBorder="1" applyAlignment="1">
      <alignment horizontal="center" vertical="center"/>
    </xf>
    <xf numFmtId="0" fontId="11" fillId="13" borderId="1" xfId="0" applyFont="1" applyFill="1" applyBorder="1" applyAlignment="1">
      <alignment horizontal="justify" vertical="top"/>
    </xf>
    <xf numFmtId="0" fontId="11" fillId="12" borderId="0" xfId="0" applyFont="1" applyFill="1"/>
    <xf numFmtId="0" fontId="11" fillId="0" borderId="2" xfId="0" applyFont="1" applyBorder="1" applyAlignment="1">
      <alignment horizontal="center" vertical="top" wrapText="1"/>
    </xf>
    <xf numFmtId="0" fontId="11" fillId="0" borderId="1" xfId="0" applyFont="1" applyBorder="1" applyAlignment="1">
      <alignment vertical="center"/>
    </xf>
    <xf numFmtId="0" fontId="11" fillId="0" borderId="2" xfId="0" applyFont="1" applyBorder="1" applyAlignment="1">
      <alignment vertical="top"/>
    </xf>
    <xf numFmtId="0" fontId="11" fillId="0" borderId="0" xfId="0" applyFont="1" applyFill="1" applyBorder="1" applyAlignment="1">
      <alignment vertical="center" wrapText="1"/>
    </xf>
    <xf numFmtId="0" fontId="14" fillId="7" borderId="1" xfId="0" applyFont="1" applyFill="1" applyBorder="1" applyAlignment="1"/>
    <xf numFmtId="0" fontId="14" fillId="7" borderId="12" xfId="0" applyFont="1" applyFill="1" applyBorder="1" applyAlignment="1"/>
    <xf numFmtId="0" fontId="14" fillId="7" borderId="6" xfId="0" applyFont="1" applyFill="1" applyBorder="1" applyAlignment="1"/>
    <xf numFmtId="0" fontId="12" fillId="4" borderId="7" xfId="0" applyFont="1" applyFill="1" applyBorder="1" applyAlignment="1">
      <alignment horizontal="center" vertical="center"/>
    </xf>
    <xf numFmtId="0" fontId="23" fillId="7" borderId="1" xfId="0" applyFont="1" applyFill="1" applyBorder="1" applyAlignment="1">
      <alignment horizontal="center" vertical="center"/>
    </xf>
    <xf numFmtId="0" fontId="23" fillId="7" borderId="6" xfId="0" applyFont="1" applyFill="1" applyBorder="1" applyAlignment="1">
      <alignment horizontal="center" vertical="center"/>
    </xf>
    <xf numFmtId="0" fontId="14" fillId="0" borderId="1" xfId="0" applyFont="1" applyFill="1" applyBorder="1" applyAlignment="1">
      <alignment horizontal="center" vertical="center"/>
    </xf>
    <xf numFmtId="0" fontId="11" fillId="0" borderId="1" xfId="0" applyFont="1" applyBorder="1" applyAlignment="1">
      <alignment vertical="center" wrapText="1"/>
    </xf>
    <xf numFmtId="0" fontId="11" fillId="11" borderId="1" xfId="0" applyFont="1" applyFill="1" applyBorder="1" applyAlignment="1">
      <alignment vertical="center" wrapText="1"/>
    </xf>
    <xf numFmtId="0" fontId="14" fillId="14" borderId="7" xfId="0" applyFont="1" applyFill="1" applyBorder="1" applyAlignment="1">
      <alignment horizontal="justify" vertical="center"/>
    </xf>
    <xf numFmtId="0" fontId="11" fillId="0" borderId="1" xfId="0" applyFont="1" applyFill="1" applyBorder="1" applyAlignment="1">
      <alignment horizontal="justify" vertical="center"/>
    </xf>
    <xf numFmtId="9" fontId="11" fillId="0" borderId="1" xfId="0" applyNumberFormat="1" applyFont="1" applyBorder="1" applyAlignment="1">
      <alignment horizontal="center" vertical="top"/>
    </xf>
    <xf numFmtId="0" fontId="11" fillId="0" borderId="14" xfId="0" applyFont="1" applyBorder="1"/>
    <xf numFmtId="0" fontId="11" fillId="0" borderId="14" xfId="0" applyFont="1" applyBorder="1" applyAlignment="1">
      <alignment wrapText="1"/>
    </xf>
    <xf numFmtId="49" fontId="11" fillId="0" borderId="1" xfId="0" applyNumberFormat="1" applyFont="1" applyBorder="1" applyAlignment="1">
      <alignment vertical="top" wrapText="1"/>
    </xf>
    <xf numFmtId="0" fontId="11" fillId="0" borderId="14" xfId="0" applyFont="1" applyBorder="1" applyAlignment="1">
      <alignment vertical="center" wrapText="1"/>
    </xf>
    <xf numFmtId="0" fontId="11" fillId="0" borderId="14" xfId="0" applyFont="1" applyBorder="1" applyAlignment="1">
      <alignment horizontal="justify" vertical="top" wrapText="1"/>
    </xf>
    <xf numFmtId="0" fontId="11" fillId="0" borderId="1" xfId="0" applyFont="1" applyBorder="1" applyAlignment="1">
      <alignment wrapText="1"/>
    </xf>
    <xf numFmtId="0" fontId="11" fillId="4" borderId="1" xfId="0" applyFont="1" applyFill="1" applyBorder="1" applyAlignment="1">
      <alignment horizontal="justify" vertical="top"/>
    </xf>
    <xf numFmtId="0" fontId="11" fillId="4" borderId="6" xfId="0" applyFont="1" applyFill="1" applyBorder="1" applyAlignment="1">
      <alignment horizontal="justify" vertical="top"/>
    </xf>
    <xf numFmtId="0" fontId="13" fillId="0" borderId="0" xfId="0" applyFont="1" applyBorder="1" applyAlignment="1"/>
    <xf numFmtId="0" fontId="14" fillId="7" borderId="1" xfId="0" applyFont="1" applyFill="1" applyBorder="1" applyAlignment="1">
      <alignment horizontal="center" vertical="center"/>
    </xf>
    <xf numFmtId="0" fontId="12" fillId="14" borderId="2" xfId="0" applyFont="1" applyFill="1" applyBorder="1" applyAlignment="1">
      <alignment horizontal="justify" vertical="center"/>
    </xf>
    <xf numFmtId="0" fontId="11" fillId="0" borderId="2" xfId="0" applyFont="1" applyBorder="1" applyAlignment="1">
      <alignment horizontal="justify" vertical="center"/>
    </xf>
    <xf numFmtId="0" fontId="11" fillId="0" borderId="1" xfId="0" applyFont="1" applyFill="1" applyBorder="1" applyAlignment="1">
      <alignment vertical="top" wrapText="1"/>
    </xf>
    <xf numFmtId="0" fontId="11" fillId="0" borderId="8" xfId="0" applyFont="1" applyFill="1" applyBorder="1" applyAlignment="1">
      <alignment horizontal="justify" vertical="top" wrapText="1"/>
    </xf>
    <xf numFmtId="0" fontId="11" fillId="0" borderId="9" xfId="0" applyFont="1" applyFill="1" applyBorder="1" applyAlignment="1">
      <alignment vertical="top" wrapText="1"/>
    </xf>
    <xf numFmtId="9" fontId="11" fillId="0" borderId="9" xfId="0" applyNumberFormat="1" applyFont="1" applyFill="1" applyBorder="1" applyAlignment="1">
      <alignment horizontal="center" vertical="center" wrapText="1"/>
    </xf>
    <xf numFmtId="0" fontId="11" fillId="0" borderId="6" xfId="0" applyFont="1" applyFill="1" applyBorder="1"/>
    <xf numFmtId="0" fontId="11" fillId="0" borderId="9" xfId="0" applyFont="1" applyBorder="1"/>
    <xf numFmtId="0" fontId="11" fillId="0" borderId="2" xfId="0" applyFont="1" applyFill="1" applyBorder="1"/>
    <xf numFmtId="0" fontId="11" fillId="0" borderId="14" xfId="0" applyFont="1" applyFill="1" applyBorder="1" applyAlignment="1">
      <alignment vertical="top" wrapText="1"/>
    </xf>
    <xf numFmtId="0" fontId="11" fillId="0" borderId="14" xfId="0" applyFont="1" applyFill="1" applyBorder="1"/>
    <xf numFmtId="0" fontId="11" fillId="0" borderId="1" xfId="0" applyFont="1" applyFill="1" applyBorder="1" applyAlignment="1" applyProtection="1">
      <alignment horizontal="justify" vertical="top"/>
      <protection locked="0"/>
    </xf>
    <xf numFmtId="9" fontId="11" fillId="0" borderId="1" xfId="0" applyNumberFormat="1" applyFont="1" applyFill="1" applyBorder="1" applyAlignment="1">
      <alignment horizontal="justify" vertical="top"/>
    </xf>
    <xf numFmtId="0" fontId="11" fillId="0" borderId="5" xfId="0" applyFont="1" applyFill="1" applyBorder="1"/>
    <xf numFmtId="0" fontId="11" fillId="0" borderId="7" xfId="0" applyFont="1" applyBorder="1" applyAlignment="1">
      <alignment horizontal="justify" vertical="center"/>
    </xf>
    <xf numFmtId="0" fontId="11" fillId="0" borderId="6" xfId="0" applyFont="1" applyBorder="1"/>
    <xf numFmtId="0" fontId="14" fillId="2" borderId="1" xfId="0" applyFont="1" applyFill="1" applyBorder="1" applyAlignment="1">
      <alignment horizontal="center"/>
    </xf>
    <xf numFmtId="9" fontId="14" fillId="2" borderId="1" xfId="0" applyNumberFormat="1" applyFont="1" applyFill="1" applyBorder="1" applyAlignment="1">
      <alignment horizontal="center" vertical="top"/>
    </xf>
    <xf numFmtId="9" fontId="14" fillId="2" borderId="1" xfId="0" applyNumberFormat="1" applyFont="1" applyFill="1" applyBorder="1" applyAlignment="1">
      <alignment horizontal="center" vertical="center"/>
    </xf>
    <xf numFmtId="9" fontId="11" fillId="0" borderId="0" xfId="0" applyNumberFormat="1" applyFont="1"/>
    <xf numFmtId="0" fontId="11" fillId="0" borderId="0" xfId="0" applyFont="1" applyAlignment="1">
      <alignment horizontal="justify" vertical="top"/>
    </xf>
    <xf numFmtId="0" fontId="11" fillId="0" borderId="1" xfId="0" applyFont="1" applyBorder="1" applyAlignment="1">
      <alignment horizontal="center" vertical="center"/>
    </xf>
    <xf numFmtId="9" fontId="14" fillId="2" borderId="1" xfId="0" applyNumberFormat="1" applyFont="1" applyFill="1" applyBorder="1" applyAlignment="1">
      <alignment horizontal="center"/>
    </xf>
    <xf numFmtId="9" fontId="11" fillId="11" borderId="1" xfId="0" applyNumberFormat="1" applyFont="1" applyFill="1" applyBorder="1" applyAlignment="1">
      <alignment horizontal="center" vertical="center"/>
    </xf>
    <xf numFmtId="0" fontId="14" fillId="0" borderId="1" xfId="0" applyFont="1" applyBorder="1" applyAlignment="1">
      <alignment horizontal="justify" vertical="top"/>
    </xf>
    <xf numFmtId="9" fontId="14" fillId="2" borderId="1" xfId="0" applyNumberFormat="1" applyFont="1" applyFill="1" applyBorder="1"/>
    <xf numFmtId="49" fontId="11" fillId="0" borderId="1" xfId="0" applyNumberFormat="1" applyFont="1" applyBorder="1" applyAlignment="1">
      <alignment horizontal="justify" vertical="top" wrapText="1"/>
    </xf>
    <xf numFmtId="0" fontId="14" fillId="0" borderId="0" xfId="0" applyFont="1" applyBorder="1" applyAlignment="1">
      <alignment horizontal="center" vertical="top"/>
    </xf>
    <xf numFmtId="0" fontId="11" fillId="0" borderId="1" xfId="0" applyFont="1" applyBorder="1" applyAlignment="1">
      <alignment horizontal="center"/>
    </xf>
    <xf numFmtId="9" fontId="11" fillId="0" borderId="1" xfId="0" applyNumberFormat="1" applyFont="1" applyBorder="1" applyAlignment="1">
      <alignment horizontal="center"/>
    </xf>
    <xf numFmtId="0" fontId="11" fillId="0" borderId="1" xfId="0" applyFont="1" applyBorder="1" applyAlignment="1"/>
    <xf numFmtId="0" fontId="11" fillId="0" borderId="0" xfId="0" applyFont="1" applyAlignment="1"/>
    <xf numFmtId="0" fontId="24" fillId="0" borderId="0" xfId="0" applyFont="1" applyBorder="1"/>
    <xf numFmtId="0" fontId="14" fillId="0" borderId="0" xfId="0" applyFont="1" applyFill="1" applyBorder="1" applyAlignment="1">
      <alignment horizontal="center" vertical="top"/>
    </xf>
    <xf numFmtId="9" fontId="11" fillId="2" borderId="2" xfId="0" applyNumberFormat="1" applyFont="1" applyFill="1" applyBorder="1" applyAlignment="1">
      <alignment horizontal="center" vertical="center"/>
    </xf>
    <xf numFmtId="0" fontId="11" fillId="0" borderId="1" xfId="0" applyFont="1" applyBorder="1" applyAlignment="1">
      <alignment horizontal="justify"/>
    </xf>
    <xf numFmtId="0" fontId="11" fillId="0" borderId="2" xfId="0" applyFont="1" applyFill="1" applyBorder="1" applyAlignment="1">
      <alignment horizontal="justify" vertical="top"/>
    </xf>
    <xf numFmtId="0" fontId="11" fillId="0" borderId="1" xfId="0" applyFont="1" applyFill="1" applyBorder="1" applyAlignment="1">
      <alignment horizontal="justify" vertical="top"/>
    </xf>
    <xf numFmtId="0" fontId="0" fillId="0" borderId="1" xfId="0" applyBorder="1" applyAlignment="1">
      <alignment horizontal="justify" vertical="top"/>
    </xf>
    <xf numFmtId="0" fontId="11" fillId="0" borderId="1" xfId="0" applyFont="1" applyBorder="1" applyAlignment="1">
      <alignment horizontal="justify" vertical="top"/>
    </xf>
    <xf numFmtId="0" fontId="11" fillId="0" borderId="1" xfId="0" applyFont="1" applyFill="1" applyBorder="1" applyAlignment="1">
      <alignment horizontal="justify" vertical="top"/>
    </xf>
    <xf numFmtId="0" fontId="0" fillId="0" borderId="1" xfId="0" applyBorder="1" applyAlignment="1">
      <alignment horizontal="justify" vertical="top"/>
    </xf>
    <xf numFmtId="0" fontId="0" fillId="9" borderId="1" xfId="0" applyFill="1" applyBorder="1" applyAlignment="1">
      <alignment horizontal="justify" vertical="top"/>
    </xf>
    <xf numFmtId="0" fontId="0" fillId="9" borderId="1" xfId="0" applyFill="1" applyBorder="1" applyAlignment="1">
      <alignment horizontal="center"/>
    </xf>
    <xf numFmtId="0" fontId="8" fillId="18" borderId="1" xfId="0" applyFont="1" applyFill="1" applyBorder="1" applyAlignment="1">
      <alignment horizontal="center" vertical="center"/>
    </xf>
    <xf numFmtId="0" fontId="11" fillId="0" borderId="7" xfId="0" applyFont="1" applyFill="1" applyBorder="1" applyAlignment="1">
      <alignment horizontal="justify" vertical="top"/>
    </xf>
    <xf numFmtId="0" fontId="11" fillId="0" borderId="8" xfId="0" applyFont="1" applyBorder="1" applyAlignment="1">
      <alignment vertical="top"/>
    </xf>
    <xf numFmtId="0" fontId="11" fillId="0" borderId="2" xfId="0" applyFont="1" applyBorder="1" applyAlignment="1">
      <alignment vertical="top"/>
    </xf>
    <xf numFmtId="0" fontId="11" fillId="0" borderId="8" xfId="0" applyFont="1" applyBorder="1" applyAlignment="1"/>
    <xf numFmtId="0" fontId="11" fillId="0" borderId="2" xfId="0" applyFont="1" applyBorder="1" applyAlignment="1"/>
    <xf numFmtId="0" fontId="11" fillId="14" borderId="14" xfId="0" applyFont="1" applyFill="1" applyBorder="1" applyAlignment="1">
      <alignment horizontal="center" vertical="center"/>
    </xf>
    <xf numFmtId="0" fontId="11" fillId="14" borderId="12" xfId="0" applyFont="1" applyFill="1" applyBorder="1" applyAlignment="1">
      <alignment horizontal="center" vertical="center"/>
    </xf>
    <xf numFmtId="0" fontId="11" fillId="14" borderId="6" xfId="0" applyFont="1" applyFill="1" applyBorder="1" applyAlignment="1">
      <alignment horizontal="center" vertical="center"/>
    </xf>
    <xf numFmtId="0" fontId="11" fillId="4" borderId="14"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6" xfId="0" applyFont="1" applyFill="1" applyBorder="1" applyAlignment="1">
      <alignment horizontal="center" vertical="center"/>
    </xf>
    <xf numFmtId="0" fontId="14" fillId="9" borderId="7" xfId="0" applyFont="1" applyFill="1" applyBorder="1" applyAlignment="1">
      <alignment horizontal="justify" vertical="center"/>
    </xf>
    <xf numFmtId="0" fontId="14" fillId="9" borderId="2" xfId="0" applyFont="1" applyFill="1" applyBorder="1" applyAlignment="1">
      <alignment horizontal="justify" vertical="center"/>
    </xf>
    <xf numFmtId="0" fontId="12" fillId="6" borderId="14"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6" xfId="0" applyFont="1" applyFill="1" applyBorder="1" applyAlignment="1">
      <alignment horizontal="center" vertical="center"/>
    </xf>
    <xf numFmtId="0" fontId="14" fillId="14" borderId="7" xfId="0" applyFont="1" applyFill="1" applyBorder="1" applyAlignment="1">
      <alignment horizontal="justify" vertical="center"/>
    </xf>
    <xf numFmtId="0" fontId="11" fillId="0" borderId="2" xfId="0" applyFont="1" applyBorder="1" applyAlignment="1">
      <alignment horizontal="justify" vertical="center"/>
    </xf>
    <xf numFmtId="0" fontId="12" fillId="5" borderId="0" xfId="0" applyFont="1" applyFill="1" applyBorder="1" applyAlignment="1">
      <alignment horizontal="center" vertical="center"/>
    </xf>
    <xf numFmtId="0" fontId="12" fillId="5" borderId="15" xfId="0" applyFont="1" applyFill="1" applyBorder="1" applyAlignment="1">
      <alignment horizontal="center" vertical="center"/>
    </xf>
    <xf numFmtId="0" fontId="14" fillId="4" borderId="1" xfId="0" applyFont="1" applyFill="1" applyBorder="1" applyAlignment="1">
      <alignment horizontal="center" vertical="center"/>
    </xf>
    <xf numFmtId="0" fontId="11" fillId="4" borderId="7" xfId="0" applyFont="1" applyFill="1" applyBorder="1" applyAlignment="1">
      <alignment horizontal="center" vertical="center"/>
    </xf>
    <xf numFmtId="0" fontId="14" fillId="7" borderId="1" xfId="0" applyFont="1" applyFill="1" applyBorder="1" applyAlignment="1">
      <alignment horizontal="center" vertical="center"/>
    </xf>
    <xf numFmtId="0" fontId="14" fillId="7" borderId="7" xfId="0" applyFont="1" applyFill="1" applyBorder="1" applyAlignment="1">
      <alignment horizontal="center" vertical="center"/>
    </xf>
    <xf numFmtId="0" fontId="14" fillId="4" borderId="7" xfId="0" applyFont="1" applyFill="1" applyBorder="1" applyAlignment="1">
      <alignment horizontal="center" vertical="center"/>
    </xf>
    <xf numFmtId="0" fontId="12" fillId="6" borderId="1" xfId="0" applyFont="1" applyFill="1" applyBorder="1" applyAlignment="1">
      <alignment horizontal="center" vertical="center"/>
    </xf>
    <xf numFmtId="0" fontId="14" fillId="3" borderId="1" xfId="0" applyFont="1" applyFill="1" applyBorder="1" applyAlignment="1">
      <alignment horizontal="justify" vertical="top"/>
    </xf>
    <xf numFmtId="0" fontId="11" fillId="3" borderId="7" xfId="0" applyFont="1" applyFill="1" applyBorder="1" applyAlignment="1">
      <alignment horizontal="justify" vertical="top"/>
    </xf>
    <xf numFmtId="0" fontId="14" fillId="3" borderId="1" xfId="0" applyFont="1" applyFill="1" applyBorder="1" applyAlignment="1">
      <alignment horizontal="center" vertical="center"/>
    </xf>
    <xf numFmtId="0" fontId="11" fillId="3" borderId="7" xfId="0" applyFont="1" applyFill="1" applyBorder="1" applyAlignment="1">
      <alignment horizontal="center" vertical="center"/>
    </xf>
    <xf numFmtId="0" fontId="12" fillId="0" borderId="7" xfId="0" applyFont="1" applyFill="1" applyBorder="1" applyAlignment="1">
      <alignment horizontal="justify" vertical="top"/>
    </xf>
    <xf numFmtId="0" fontId="11" fillId="0" borderId="8" xfId="0" applyFont="1" applyBorder="1" applyAlignment="1">
      <alignment horizontal="justify" vertical="top"/>
    </xf>
    <xf numFmtId="0" fontId="11" fillId="0" borderId="2" xfId="0" applyFont="1" applyBorder="1" applyAlignment="1">
      <alignment horizontal="justify" vertical="top"/>
    </xf>
    <xf numFmtId="0" fontId="12" fillId="0" borderId="8" xfId="0" applyFont="1" applyFill="1" applyBorder="1" applyAlignment="1">
      <alignment horizontal="justify" vertical="top"/>
    </xf>
    <xf numFmtId="0" fontId="12" fillId="0" borderId="2" xfId="0" applyFont="1" applyFill="1" applyBorder="1" applyAlignment="1">
      <alignment horizontal="justify" vertical="top"/>
    </xf>
    <xf numFmtId="0" fontId="11" fillId="0" borderId="8" xfId="0" applyFont="1" applyFill="1" applyBorder="1" applyAlignment="1">
      <alignment horizontal="justify" vertical="top"/>
    </xf>
    <xf numFmtId="0" fontId="11" fillId="0" borderId="2" xfId="0" applyFont="1" applyFill="1" applyBorder="1" applyAlignment="1">
      <alignment horizontal="justify" vertical="top"/>
    </xf>
    <xf numFmtId="0" fontId="12" fillId="0" borderId="1" xfId="0" applyFont="1" applyFill="1" applyBorder="1" applyAlignment="1">
      <alignment horizontal="justify" vertical="top"/>
    </xf>
    <xf numFmtId="0" fontId="11" fillId="0" borderId="1" xfId="0" applyFont="1" applyBorder="1" applyAlignment="1">
      <alignment horizontal="justify" vertical="top"/>
    </xf>
    <xf numFmtId="17" fontId="6" fillId="0" borderId="7" xfId="0" applyNumberFormat="1" applyFont="1" applyFill="1" applyBorder="1" applyAlignment="1">
      <alignment horizontal="center" vertical="center"/>
    </xf>
    <xf numFmtId="0" fontId="11" fillId="9" borderId="7" xfId="0" applyFont="1" applyFill="1" applyBorder="1" applyAlignment="1">
      <alignment horizontal="center" vertical="top" wrapText="1"/>
    </xf>
    <xf numFmtId="0" fontId="11" fillId="9" borderId="8" xfId="0" applyFont="1" applyFill="1" applyBorder="1" applyAlignment="1">
      <alignment horizontal="center" vertical="top" wrapText="1"/>
    </xf>
    <xf numFmtId="0" fontId="11" fillId="9" borderId="2" xfId="0" applyFont="1" applyFill="1" applyBorder="1" applyAlignment="1">
      <alignment horizontal="center" vertical="top" wrapText="1"/>
    </xf>
    <xf numFmtId="0" fontId="11" fillId="0" borderId="7" xfId="0" applyFont="1" applyBorder="1" applyAlignment="1">
      <alignment horizontal="justify" vertical="top"/>
    </xf>
    <xf numFmtId="0" fontId="11" fillId="0" borderId="7" xfId="0" applyFont="1" applyFill="1" applyBorder="1" applyAlignment="1">
      <alignment horizontal="center" vertical="top" wrapText="1"/>
    </xf>
    <xf numFmtId="0" fontId="11" fillId="0" borderId="8" xfId="0" applyFont="1" applyFill="1" applyBorder="1" applyAlignment="1">
      <alignment horizontal="center" vertical="top" wrapText="1"/>
    </xf>
    <xf numFmtId="0" fontId="11" fillId="0" borderId="2" xfId="0" applyFont="1" applyFill="1" applyBorder="1" applyAlignment="1">
      <alignment horizontal="center" vertical="top" wrapText="1"/>
    </xf>
    <xf numFmtId="0" fontId="11" fillId="0" borderId="7" xfId="0" applyFont="1" applyBorder="1" applyAlignment="1">
      <alignment horizontal="center" vertical="top" wrapText="1"/>
    </xf>
    <xf numFmtId="0" fontId="11" fillId="0" borderId="8" xfId="0" applyFont="1" applyBorder="1" applyAlignment="1">
      <alignment horizontal="center" vertical="top" wrapText="1"/>
    </xf>
    <xf numFmtId="0" fontId="11" fillId="0" borderId="2" xfId="0" applyFont="1" applyBorder="1" applyAlignment="1">
      <alignment horizontal="center" vertical="top" wrapText="1"/>
    </xf>
    <xf numFmtId="0" fontId="11" fillId="14" borderId="1" xfId="0" applyFont="1" applyFill="1" applyBorder="1" applyAlignment="1">
      <alignment horizontal="center" vertical="center"/>
    </xf>
    <xf numFmtId="0" fontId="11" fillId="4" borderId="1" xfId="0" applyFont="1" applyFill="1" applyBorder="1" applyAlignment="1">
      <alignment horizontal="center" vertical="center"/>
    </xf>
    <xf numFmtId="0" fontId="14" fillId="9" borderId="7" xfId="0" applyFont="1" applyFill="1" applyBorder="1" applyAlignment="1">
      <alignment horizontal="justify" vertical="center" wrapText="1"/>
    </xf>
    <xf numFmtId="0" fontId="11" fillId="0" borderId="2" xfId="0" applyFont="1" applyBorder="1" applyAlignment="1">
      <alignment horizontal="justify" vertical="center" wrapText="1"/>
    </xf>
    <xf numFmtId="0" fontId="11" fillId="0" borderId="1" xfId="0" applyFont="1" applyFill="1" applyBorder="1" applyAlignment="1">
      <alignment horizontal="justify" vertical="top"/>
    </xf>
    <xf numFmtId="0" fontId="14" fillId="7" borderId="7" xfId="0" applyFont="1" applyFill="1" applyBorder="1" applyAlignment="1">
      <alignment horizontal="justify" vertical="top"/>
    </xf>
    <xf numFmtId="0" fontId="14" fillId="7" borderId="2" xfId="0" applyFont="1" applyFill="1" applyBorder="1" applyAlignment="1">
      <alignment horizontal="justify" vertical="top"/>
    </xf>
    <xf numFmtId="0" fontId="13" fillId="0" borderId="0" xfId="0" applyFont="1" applyAlignment="1">
      <alignment horizontal="center"/>
    </xf>
    <xf numFmtId="0" fontId="12" fillId="5" borderId="1" xfId="0" applyFont="1" applyFill="1" applyBorder="1" applyAlignment="1">
      <alignment horizontal="center" vertical="center"/>
    </xf>
    <xf numFmtId="0" fontId="11" fillId="4" borderId="2"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6" xfId="0" applyFont="1" applyFill="1" applyBorder="1" applyAlignment="1">
      <alignment horizontal="center" vertical="center"/>
    </xf>
    <xf numFmtId="0" fontId="14" fillId="7" borderId="1" xfId="0" applyFont="1" applyFill="1" applyBorder="1" applyAlignment="1">
      <alignment horizontal="justify" vertical="top"/>
    </xf>
    <xf numFmtId="0" fontId="11" fillId="0" borderId="7" xfId="0" applyFont="1" applyFill="1" applyBorder="1" applyAlignment="1">
      <alignment horizontal="justify" vertical="center"/>
    </xf>
    <xf numFmtId="0" fontId="11" fillId="0" borderId="2" xfId="0" applyFont="1" applyFill="1" applyBorder="1" applyAlignment="1">
      <alignment horizontal="justify" vertical="center"/>
    </xf>
    <xf numFmtId="0" fontId="11" fillId="0" borderId="2" xfId="0" applyFont="1" applyFill="1" applyBorder="1" applyAlignment="1"/>
    <xf numFmtId="0" fontId="11" fillId="0" borderId="7" xfId="0" applyFont="1" applyFill="1" applyBorder="1" applyAlignment="1">
      <alignment vertical="center" wrapText="1"/>
    </xf>
    <xf numFmtId="0" fontId="11" fillId="0" borderId="2" xfId="0" applyFont="1" applyFill="1" applyBorder="1" applyAlignment="1">
      <alignment vertical="center"/>
    </xf>
    <xf numFmtId="0" fontId="11" fillId="0" borderId="8" xfId="0" applyFont="1" applyFill="1" applyBorder="1" applyAlignment="1">
      <alignment horizontal="justify" vertical="center"/>
    </xf>
    <xf numFmtId="0" fontId="11" fillId="0" borderId="1" xfId="0" applyFont="1" applyFill="1" applyBorder="1" applyAlignment="1"/>
    <xf numFmtId="0" fontId="12" fillId="14" borderId="1" xfId="0" applyFont="1" applyFill="1" applyBorder="1" applyAlignment="1">
      <alignment horizontal="center" vertical="center"/>
    </xf>
    <xf numFmtId="0" fontId="11" fillId="0" borderId="7" xfId="0" applyFont="1" applyFill="1" applyBorder="1" applyAlignment="1">
      <alignment horizontal="justify" vertical="top" wrapText="1"/>
    </xf>
    <xf numFmtId="0" fontId="14" fillId="14" borderId="2" xfId="0" applyFont="1" applyFill="1" applyBorder="1" applyAlignment="1">
      <alignment horizontal="justify" vertical="center"/>
    </xf>
    <xf numFmtId="0" fontId="14" fillId="7" borderId="2" xfId="0" applyFont="1" applyFill="1" applyBorder="1" applyAlignment="1">
      <alignment horizontal="center" vertical="center"/>
    </xf>
    <xf numFmtId="0" fontId="14" fillId="4" borderId="2" xfId="0" applyFont="1" applyFill="1" applyBorder="1" applyAlignment="1">
      <alignment horizontal="center" vertical="center"/>
    </xf>
    <xf numFmtId="0" fontId="0" fillId="14" borderId="1" xfId="0" applyFill="1" applyBorder="1" applyAlignment="1">
      <alignment horizontal="center" vertical="center"/>
    </xf>
    <xf numFmtId="0" fontId="0" fillId="4" borderId="1" xfId="0" applyFill="1" applyBorder="1" applyAlignment="1">
      <alignment horizontal="center" vertical="center"/>
    </xf>
    <xf numFmtId="0" fontId="1" fillId="14" borderId="7" xfId="0" applyFont="1" applyFill="1" applyBorder="1" applyAlignment="1">
      <alignment horizontal="justify" vertical="center"/>
    </xf>
    <xf numFmtId="0" fontId="1" fillId="14" borderId="2" xfId="0" applyFont="1" applyFill="1" applyBorder="1" applyAlignment="1">
      <alignment horizontal="justify" vertical="center"/>
    </xf>
    <xf numFmtId="0" fontId="1" fillId="9" borderId="7" xfId="0" applyFont="1" applyFill="1" applyBorder="1" applyAlignment="1">
      <alignment horizontal="justify" vertical="center"/>
    </xf>
    <xf numFmtId="0" fontId="0" fillId="0" borderId="2" xfId="0" applyBorder="1" applyAlignment="1">
      <alignment horizontal="justify" vertical="center"/>
    </xf>
    <xf numFmtId="0" fontId="8" fillId="6" borderId="14"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6" xfId="0" applyFont="1" applyFill="1" applyBorder="1" applyAlignment="1">
      <alignment horizontal="center" vertical="center"/>
    </xf>
    <xf numFmtId="0" fontId="2" fillId="0" borderId="0" xfId="0" applyFont="1" applyAlignment="1">
      <alignment horizontal="center"/>
    </xf>
    <xf numFmtId="0" fontId="1" fillId="7" borderId="1" xfId="0" applyFont="1" applyFill="1" applyBorder="1" applyAlignment="1">
      <alignment horizontal="center" vertical="center"/>
    </xf>
    <xf numFmtId="0" fontId="1" fillId="7" borderId="1" xfId="0" applyFont="1" applyFill="1" applyBorder="1" applyAlignment="1">
      <alignment horizontal="justify" vertical="top"/>
    </xf>
    <xf numFmtId="0" fontId="8" fillId="6" borderId="1" xfId="0" applyFont="1" applyFill="1" applyBorder="1" applyAlignment="1">
      <alignment horizontal="center" vertical="center"/>
    </xf>
    <xf numFmtId="0" fontId="11" fillId="0" borderId="8" xfId="0" applyFont="1" applyFill="1" applyBorder="1" applyAlignment="1"/>
    <xf numFmtId="0" fontId="8" fillId="5" borderId="1" xfId="0" applyFont="1" applyFill="1" applyBorder="1" applyAlignment="1">
      <alignment horizontal="center" vertical="center"/>
    </xf>
    <xf numFmtId="0" fontId="1" fillId="4" borderId="7" xfId="0" applyFont="1" applyFill="1" applyBorder="1" applyAlignment="1">
      <alignment horizontal="center" vertical="center"/>
    </xf>
    <xf numFmtId="0" fontId="0" fillId="4" borderId="2" xfId="0" applyFill="1" applyBorder="1" applyAlignment="1">
      <alignment horizontal="center" vertical="center"/>
    </xf>
    <xf numFmtId="0" fontId="1" fillId="4" borderId="14" xfId="0" applyFont="1" applyFill="1" applyBorder="1" applyAlignment="1">
      <alignment horizontal="center" vertical="center"/>
    </xf>
    <xf numFmtId="0" fontId="1" fillId="4" borderId="6" xfId="0" applyFont="1" applyFill="1" applyBorder="1" applyAlignment="1">
      <alignment horizontal="center" vertical="center"/>
    </xf>
    <xf numFmtId="0" fontId="11" fillId="14" borderId="2" xfId="0" applyFont="1" applyFill="1" applyBorder="1" applyAlignment="1">
      <alignment horizontal="center" vertical="center"/>
    </xf>
    <xf numFmtId="0" fontId="11" fillId="0" borderId="7" xfId="0" applyFont="1" applyFill="1" applyBorder="1" applyAlignment="1"/>
    <xf numFmtId="49" fontId="11" fillId="0" borderId="1" xfId="0" applyNumberFormat="1" applyFont="1" applyFill="1" applyBorder="1" applyAlignment="1">
      <alignment vertical="top" wrapText="1"/>
    </xf>
    <xf numFmtId="0" fontId="14" fillId="7" borderId="14" xfId="0" applyFont="1" applyFill="1" applyBorder="1" applyAlignment="1">
      <alignment horizontal="center"/>
    </xf>
    <xf numFmtId="0" fontId="14" fillId="7" borderId="12" xfId="0" applyFont="1" applyFill="1" applyBorder="1" applyAlignment="1">
      <alignment horizontal="center"/>
    </xf>
    <xf numFmtId="0" fontId="14" fillId="7" borderId="6" xfId="0" applyFont="1" applyFill="1" applyBorder="1" applyAlignment="1">
      <alignment horizontal="center"/>
    </xf>
    <xf numFmtId="0" fontId="19" fillId="0" borderId="7" xfId="0" applyFont="1" applyFill="1" applyBorder="1" applyAlignment="1">
      <alignment horizontal="justify" vertical="top" wrapText="1"/>
    </xf>
    <xf numFmtId="49" fontId="8" fillId="10" borderId="9" xfId="0" applyNumberFormat="1" applyFont="1" applyFill="1" applyBorder="1" applyAlignment="1">
      <alignment horizontal="justify" vertical="top" wrapText="1"/>
    </xf>
    <xf numFmtId="0" fontId="0" fillId="0" borderId="17" xfId="0" applyBorder="1" applyAlignment="1"/>
    <xf numFmtId="0" fontId="0" fillId="0" borderId="5" xfId="0" applyBorder="1" applyAlignment="1"/>
    <xf numFmtId="0" fontId="8" fillId="0" borderId="8" xfId="0" applyFont="1" applyFill="1" applyBorder="1" applyAlignment="1">
      <alignment horizontal="justify" vertical="top"/>
    </xf>
    <xf numFmtId="0" fontId="0" fillId="0" borderId="8" xfId="0" applyBorder="1" applyAlignment="1">
      <alignment horizontal="justify" vertical="top"/>
    </xf>
    <xf numFmtId="0" fontId="0" fillId="0" borderId="2" xfId="0" applyBorder="1" applyAlignment="1">
      <alignment horizontal="justify" vertical="top"/>
    </xf>
    <xf numFmtId="0" fontId="0" fillId="0" borderId="7" xfId="0" applyBorder="1" applyAlignment="1">
      <alignment horizontal="justify" vertical="top"/>
    </xf>
    <xf numFmtId="0" fontId="8" fillId="0" borderId="7" xfId="0" applyFont="1" applyBorder="1" applyAlignment="1">
      <alignment horizontal="justify" vertical="top"/>
    </xf>
    <xf numFmtId="0" fontId="8" fillId="0" borderId="1" xfId="0" applyFont="1" applyFill="1" applyBorder="1" applyAlignment="1">
      <alignment horizontal="justify" vertical="top"/>
    </xf>
    <xf numFmtId="0" fontId="0" fillId="0" borderId="1" xfId="0" applyBorder="1" applyAlignment="1">
      <alignment horizontal="justify" vertical="top"/>
    </xf>
    <xf numFmtId="0" fontId="8" fillId="0" borderId="8" xfId="0" applyFont="1" applyBorder="1" applyAlignment="1">
      <alignment horizontal="justify" vertical="top"/>
    </xf>
    <xf numFmtId="0" fontId="8" fillId="0" borderId="2" xfId="0" applyFont="1" applyBorder="1" applyAlignment="1">
      <alignment horizontal="justify" vertical="top"/>
    </xf>
    <xf numFmtId="0" fontId="0" fillId="0" borderId="1" xfId="0" applyFont="1" applyBorder="1" applyAlignment="1">
      <alignment horizontal="justify" vertical="top"/>
    </xf>
    <xf numFmtId="0" fontId="0" fillId="0" borderId="1" xfId="0" applyBorder="1" applyAlignment="1"/>
    <xf numFmtId="0" fontId="12" fillId="0" borderId="7" xfId="0" applyFont="1" applyBorder="1" applyAlignment="1">
      <alignment horizontal="justify" vertical="top"/>
    </xf>
    <xf numFmtId="0" fontId="12" fillId="0" borderId="8" xfId="0" applyFont="1" applyBorder="1" applyAlignment="1">
      <alignment horizontal="justify" vertical="top"/>
    </xf>
    <xf numFmtId="0" fontId="12" fillId="0" borderId="2" xfId="0" applyFont="1" applyBorder="1" applyAlignment="1">
      <alignment horizontal="justify" vertical="top"/>
    </xf>
    <xf numFmtId="17" fontId="6" fillId="0" borderId="7" xfId="0" applyNumberFormat="1" applyFont="1" applyBorder="1" applyAlignment="1">
      <alignment horizontal="center" vertical="center"/>
    </xf>
    <xf numFmtId="0" fontId="11" fillId="0" borderId="8" xfId="0" applyFont="1" applyBorder="1" applyAlignment="1">
      <alignment horizontal="center" vertical="center"/>
    </xf>
    <xf numFmtId="0" fontId="11" fillId="0" borderId="2" xfId="0" applyFont="1" applyBorder="1" applyAlignment="1">
      <alignment horizontal="center" vertical="center"/>
    </xf>
    <xf numFmtId="0" fontId="24" fillId="0" borderId="0" xfId="0" applyFont="1" applyAlignment="1">
      <alignment horizontal="center"/>
    </xf>
    <xf numFmtId="9" fontId="14" fillId="2" borderId="1" xfId="0" applyNumberFormat="1" applyFont="1" applyFill="1" applyBorder="1" applyAlignment="1">
      <alignment horizontal="center" vertical="center"/>
    </xf>
    <xf numFmtId="9" fontId="11" fillId="2" borderId="1" xfId="0" applyNumberFormat="1" applyFont="1" applyFill="1" applyBorder="1" applyAlignment="1">
      <alignment horizontal="center" vertical="center"/>
    </xf>
    <xf numFmtId="0" fontId="14" fillId="0" borderId="9"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3" xfId="0" applyFont="1" applyBorder="1" applyAlignment="1">
      <alignment horizontal="left" vertical="center"/>
    </xf>
    <xf numFmtId="9" fontId="14" fillId="2" borderId="9" xfId="0" applyNumberFormat="1" applyFont="1" applyFill="1" applyBorder="1" applyAlignment="1">
      <alignment horizontal="center" vertical="center"/>
    </xf>
    <xf numFmtId="0" fontId="11" fillId="2" borderId="5" xfId="0" applyFont="1" applyFill="1" applyBorder="1" applyAlignment="1">
      <alignment horizontal="center" vertical="center"/>
    </xf>
    <xf numFmtId="9" fontId="14" fillId="0" borderId="9" xfId="0" applyNumberFormat="1" applyFont="1" applyBorder="1" applyAlignment="1">
      <alignment horizontal="center" vertical="center"/>
    </xf>
    <xf numFmtId="0" fontId="11" fillId="0" borderId="5" xfId="0" applyFont="1" applyBorder="1" applyAlignment="1">
      <alignment horizontal="center" vertical="center"/>
    </xf>
    <xf numFmtId="0" fontId="14" fillId="2" borderId="9"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xf>
    <xf numFmtId="0" fontId="14" fillId="2" borderId="7" xfId="0" applyFont="1" applyFill="1" applyBorder="1" applyAlignment="1">
      <alignment horizontal="center" vertical="center"/>
    </xf>
    <xf numFmtId="0" fontId="11" fillId="2" borderId="2"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6" xfId="0" applyFont="1" applyFill="1" applyBorder="1" applyAlignment="1">
      <alignment horizontal="center" vertical="center"/>
    </xf>
    <xf numFmtId="10" fontId="14" fillId="0" borderId="9" xfId="0" applyNumberFormat="1" applyFont="1" applyBorder="1" applyAlignment="1">
      <alignment horizontal="left" vertical="center"/>
    </xf>
    <xf numFmtId="10" fontId="11" fillId="0" borderId="4" xfId="0" applyNumberFormat="1" applyFont="1" applyBorder="1" applyAlignment="1">
      <alignment horizontal="left" vertical="center"/>
    </xf>
    <xf numFmtId="10" fontId="11" fillId="0" borderId="5" xfId="0" applyNumberFormat="1" applyFont="1" applyBorder="1" applyAlignment="1">
      <alignment horizontal="left" vertical="center"/>
    </xf>
    <xf numFmtId="10" fontId="11" fillId="0" borderId="3" xfId="0" applyNumberFormat="1" applyFont="1" applyBorder="1" applyAlignment="1">
      <alignment horizontal="left" vertical="center"/>
    </xf>
    <xf numFmtId="10" fontId="14" fillId="0" borderId="9" xfId="0" applyNumberFormat="1" applyFont="1" applyBorder="1" applyAlignment="1">
      <alignment horizontal="justify" vertical="top"/>
    </xf>
    <xf numFmtId="10" fontId="11" fillId="0" borderId="4" xfId="0" applyNumberFormat="1" applyFont="1" applyBorder="1" applyAlignment="1">
      <alignment horizontal="justify" vertical="top"/>
    </xf>
    <xf numFmtId="10" fontId="11" fillId="0" borderId="5" xfId="0" applyNumberFormat="1" applyFont="1" applyBorder="1" applyAlignment="1">
      <alignment horizontal="justify" vertical="top"/>
    </xf>
    <xf numFmtId="10" fontId="11" fillId="0" borderId="3" xfId="0" applyNumberFormat="1" applyFont="1" applyBorder="1" applyAlignment="1">
      <alignment horizontal="justify" vertical="top"/>
    </xf>
    <xf numFmtId="9" fontId="11" fillId="0" borderId="14" xfId="0" applyNumberFormat="1" applyFont="1" applyBorder="1" applyAlignment="1">
      <alignment horizontal="center"/>
    </xf>
    <xf numFmtId="9" fontId="11" fillId="0" borderId="12" xfId="0" applyNumberFormat="1" applyFont="1" applyBorder="1" applyAlignment="1">
      <alignment horizontal="center"/>
    </xf>
    <xf numFmtId="0" fontId="11" fillId="0" borderId="12" xfId="0" applyFont="1" applyBorder="1" applyAlignment="1"/>
    <xf numFmtId="0" fontId="11" fillId="0" borderId="6" xfId="0" applyFont="1" applyBorder="1" applyAlignment="1"/>
    <xf numFmtId="0" fontId="14" fillId="0" borderId="4" xfId="0" applyFont="1" applyBorder="1" applyAlignment="1">
      <alignment horizontal="left" vertical="center"/>
    </xf>
    <xf numFmtId="9" fontId="14" fillId="2" borderId="7" xfId="0" applyNumberFormat="1" applyFont="1" applyFill="1" applyBorder="1" applyAlignment="1">
      <alignment horizontal="center" vertical="center"/>
    </xf>
    <xf numFmtId="9" fontId="11" fillId="2" borderId="2" xfId="0" applyNumberFormat="1" applyFont="1" applyFill="1" applyBorder="1" applyAlignment="1">
      <alignment horizontal="center" vertical="center"/>
    </xf>
    <xf numFmtId="9" fontId="14" fillId="0" borderId="10" xfId="0" applyNumberFormat="1" applyFont="1" applyBorder="1" applyAlignment="1">
      <alignment horizontal="center" vertical="center"/>
    </xf>
    <xf numFmtId="9" fontId="14" fillId="0" borderId="4" xfId="0" applyNumberFormat="1" applyFont="1" applyBorder="1" applyAlignment="1">
      <alignment horizontal="center" vertical="center"/>
    </xf>
    <xf numFmtId="9" fontId="14" fillId="0" borderId="5" xfId="0" applyNumberFormat="1" applyFont="1" applyBorder="1" applyAlignment="1">
      <alignment horizontal="center" vertical="center"/>
    </xf>
    <xf numFmtId="9" fontId="14" fillId="0" borderId="11" xfId="0" applyNumberFormat="1" applyFont="1" applyBorder="1" applyAlignment="1">
      <alignment horizontal="center" vertical="center"/>
    </xf>
    <xf numFmtId="9" fontId="14" fillId="0" borderId="3" xfId="0" applyNumberFormat="1" applyFont="1" applyBorder="1" applyAlignment="1">
      <alignment horizontal="center" vertical="center"/>
    </xf>
    <xf numFmtId="0" fontId="24" fillId="0" borderId="11" xfId="0" applyFont="1" applyBorder="1" applyAlignment="1">
      <alignment horizontal="center" vertical="top"/>
    </xf>
    <xf numFmtId="0" fontId="11" fillId="0" borderId="14" xfId="0" applyFont="1" applyBorder="1" applyAlignment="1"/>
    <xf numFmtId="9" fontId="11" fillId="0" borderId="1" xfId="0" applyNumberFormat="1" applyFont="1" applyBorder="1" applyAlignment="1">
      <alignment horizontal="center"/>
    </xf>
    <xf numFmtId="0" fontId="25" fillId="0" borderId="0" xfId="0" applyFont="1" applyAlignment="1">
      <alignment horizontal="center"/>
    </xf>
    <xf numFmtId="9" fontId="0" fillId="0" borderId="1" xfId="0" applyNumberFormat="1" applyBorder="1" applyAlignment="1">
      <alignment horizontal="center"/>
    </xf>
    <xf numFmtId="9" fontId="0" fillId="0" borderId="0" xfId="0" applyNumberFormat="1" applyAlignment="1">
      <alignment horizontal="center"/>
    </xf>
    <xf numFmtId="9" fontId="8" fillId="18" borderId="1" xfId="0" applyNumberFormat="1" applyFont="1" applyFill="1" applyBorder="1" applyAlignment="1">
      <alignment horizontal="center" vertical="center"/>
    </xf>
    <xf numFmtId="9" fontId="0" fillId="9" borderId="1" xfId="0" applyNumberFormat="1" applyFill="1" applyBorder="1" applyAlignment="1">
      <alignment horizontal="center"/>
    </xf>
    <xf numFmtId="0" fontId="0" fillId="0" borderId="8" xfId="0" applyBorder="1" applyAlignment="1"/>
    <xf numFmtId="0" fontId="0" fillId="0" borderId="2" xfId="0" applyBorder="1" applyAlignment="1"/>
    <xf numFmtId="0" fontId="0" fillId="0" borderId="0" xfId="0" applyAlignment="1">
      <alignment horizontal="left"/>
    </xf>
    <xf numFmtId="0" fontId="8" fillId="18"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0" fillId="9" borderId="1" xfId="0" applyFill="1" applyBorder="1" applyAlignment="1">
      <alignment horizontal="left"/>
    </xf>
  </cellXfs>
  <cellStyles count="2">
    <cellStyle name="Normal" xfId="0" builtinId="0"/>
    <cellStyle name="Normal 3"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B91"/>
  <sheetViews>
    <sheetView topLeftCell="G1" zoomScale="68" zoomScaleNormal="68" workbookViewId="0">
      <pane ySplit="10" topLeftCell="A30" activePane="bottomLeft" state="frozen"/>
      <selection pane="bottomLeft" activeCell="K36" sqref="K36"/>
    </sheetView>
  </sheetViews>
  <sheetFormatPr baseColWidth="10" defaultRowHeight="15"/>
  <cols>
    <col min="1" max="1" width="19.5703125" style="31" hidden="1" customWidth="1"/>
    <col min="2" max="2" width="14.85546875" style="31" hidden="1" customWidth="1"/>
    <col min="3" max="3" width="14.7109375" style="31" hidden="1" customWidth="1"/>
    <col min="4" max="4" width="14.28515625" style="31" hidden="1" customWidth="1"/>
    <col min="5" max="5" width="14.7109375" style="31" hidden="1" customWidth="1"/>
    <col min="6" max="6" width="15.140625" style="31" hidden="1" customWidth="1"/>
    <col min="7" max="7" width="20.7109375" style="31" customWidth="1"/>
    <col min="8" max="8" width="19.28515625" style="31" customWidth="1"/>
    <col min="9" max="9" width="21.7109375" style="31" customWidth="1"/>
    <col min="10" max="10" width="23.7109375" style="31" customWidth="1"/>
    <col min="11" max="11" width="19.5703125" style="31" customWidth="1"/>
    <col min="12" max="12" width="16.7109375" style="31" customWidth="1"/>
    <col min="13" max="13" width="8.42578125" style="31" customWidth="1"/>
    <col min="14" max="14" width="6.42578125" style="31" customWidth="1"/>
    <col min="15" max="15" width="6.5703125" style="31" hidden="1" customWidth="1"/>
    <col min="16" max="17" width="6.7109375" style="31" hidden="1" customWidth="1"/>
    <col min="18" max="18" width="6.42578125" style="31" hidden="1" customWidth="1"/>
    <col min="19" max="19" width="20.85546875" style="31" customWidth="1"/>
    <col min="20" max="21" width="20.85546875" style="31" hidden="1" customWidth="1"/>
    <col min="22" max="22" width="20.85546875" style="31" customWidth="1"/>
    <col min="23" max="23" width="16.85546875" style="31" customWidth="1"/>
    <col min="24" max="24" width="22.42578125" style="31" customWidth="1"/>
    <col min="25" max="25" width="19.85546875" style="31" hidden="1" customWidth="1"/>
    <col min="26" max="27" width="11.42578125" style="31" hidden="1" customWidth="1"/>
    <col min="28" max="16384" width="11.42578125" style="31"/>
  </cols>
  <sheetData>
    <row r="1" spans="1:28">
      <c r="V1" s="143"/>
      <c r="W1" s="57"/>
      <c r="X1" s="57"/>
    </row>
    <row r="2" spans="1:28" ht="23.25">
      <c r="B2" s="144"/>
      <c r="C2" s="144"/>
      <c r="D2" s="144"/>
      <c r="E2" s="144"/>
      <c r="F2" s="144"/>
      <c r="G2" s="145" t="s">
        <v>706</v>
      </c>
      <c r="H2" s="144"/>
      <c r="I2" s="144"/>
      <c r="J2" s="144"/>
      <c r="K2" s="144"/>
      <c r="L2" s="144"/>
      <c r="M2" s="144"/>
      <c r="N2" s="144"/>
      <c r="O2" s="144"/>
      <c r="P2" s="144"/>
      <c r="Q2" s="144"/>
      <c r="R2" s="144"/>
      <c r="S2" s="144"/>
      <c r="V2" s="143"/>
      <c r="W2" s="57"/>
      <c r="X2" s="57"/>
    </row>
    <row r="3" spans="1:28" ht="23.25">
      <c r="B3" s="144"/>
      <c r="C3" s="144"/>
      <c r="D3" s="144"/>
      <c r="E3" s="144"/>
      <c r="F3" s="144"/>
      <c r="G3" s="145" t="s">
        <v>1855</v>
      </c>
      <c r="H3" s="144"/>
      <c r="I3" s="144"/>
      <c r="J3" s="144"/>
      <c r="K3" s="144"/>
      <c r="L3" s="144"/>
      <c r="M3" s="144"/>
      <c r="N3" s="144"/>
      <c r="O3" s="144"/>
      <c r="P3" s="144"/>
      <c r="Q3" s="144"/>
      <c r="R3" s="144"/>
      <c r="S3" s="144"/>
      <c r="V3" s="143"/>
      <c r="W3" s="57"/>
      <c r="X3" s="57"/>
    </row>
    <row r="4" spans="1:28" ht="23.25">
      <c r="B4" s="144"/>
      <c r="C4" s="144"/>
      <c r="D4" s="144"/>
      <c r="E4" s="144"/>
      <c r="F4" s="144"/>
      <c r="G4" s="145" t="s">
        <v>1854</v>
      </c>
      <c r="H4" s="144"/>
      <c r="I4" s="144"/>
      <c r="J4" s="144"/>
      <c r="K4" s="144"/>
      <c r="L4" s="144"/>
      <c r="M4" s="144"/>
      <c r="N4" s="144"/>
      <c r="O4" s="144"/>
      <c r="P4" s="144"/>
      <c r="Q4" s="144"/>
      <c r="R4" s="144"/>
      <c r="S4" s="144"/>
      <c r="V4" s="146"/>
      <c r="W4" s="57"/>
      <c r="X4" s="57"/>
    </row>
    <row r="5" spans="1:28" ht="23.25">
      <c r="B5" s="32"/>
      <c r="G5" s="145" t="s">
        <v>1798</v>
      </c>
      <c r="H5" s="147"/>
      <c r="I5" s="147"/>
      <c r="J5" s="147"/>
      <c r="K5" s="147"/>
      <c r="L5" s="147"/>
      <c r="M5" s="147"/>
      <c r="N5" s="147"/>
      <c r="O5" s="147"/>
      <c r="P5" s="147"/>
      <c r="Q5" s="147"/>
      <c r="R5" s="147"/>
      <c r="S5" s="147"/>
      <c r="T5" s="147"/>
      <c r="V5" s="57"/>
      <c r="W5" s="57"/>
      <c r="X5" s="57"/>
    </row>
    <row r="6" spans="1:28" ht="21">
      <c r="B6" s="32"/>
    </row>
    <row r="7" spans="1:28" ht="21">
      <c r="B7" s="32"/>
      <c r="V7" s="239" t="s">
        <v>1690</v>
      </c>
      <c r="W7" s="240"/>
      <c r="X7" s="241"/>
      <c r="Y7" s="242" t="s">
        <v>1690</v>
      </c>
      <c r="Z7" s="243"/>
      <c r="AA7" s="244"/>
    </row>
    <row r="8" spans="1:28" ht="30" customHeight="1">
      <c r="A8" s="252" t="s">
        <v>1102</v>
      </c>
      <c r="B8" s="252"/>
      <c r="C8" s="252"/>
      <c r="D8" s="252"/>
      <c r="E8" s="252"/>
      <c r="F8" s="253"/>
      <c r="G8" s="259" t="s">
        <v>1252</v>
      </c>
      <c r="H8" s="259"/>
      <c r="I8" s="259"/>
      <c r="J8" s="259"/>
      <c r="K8" s="259"/>
      <c r="L8" s="259"/>
      <c r="M8" s="259"/>
      <c r="N8" s="259"/>
      <c r="O8" s="259"/>
      <c r="P8" s="259"/>
      <c r="Q8" s="259"/>
      <c r="R8" s="259"/>
      <c r="S8" s="259"/>
      <c r="T8" s="259"/>
      <c r="U8" s="259"/>
      <c r="V8" s="247" t="s">
        <v>1706</v>
      </c>
      <c r="W8" s="248"/>
      <c r="X8" s="249"/>
      <c r="Y8" s="247" t="s">
        <v>1691</v>
      </c>
      <c r="Z8" s="248"/>
      <c r="AA8" s="249"/>
    </row>
    <row r="9" spans="1:28" s="150" customFormat="1" ht="15" customHeight="1">
      <c r="A9" s="254" t="s">
        <v>1236</v>
      </c>
      <c r="B9" s="254" t="s">
        <v>703</v>
      </c>
      <c r="C9" s="254" t="s">
        <v>700</v>
      </c>
      <c r="D9" s="258" t="s">
        <v>701</v>
      </c>
      <c r="E9" s="258"/>
      <c r="F9" s="254" t="s">
        <v>704</v>
      </c>
      <c r="G9" s="256" t="s">
        <v>711</v>
      </c>
      <c r="H9" s="256" t="s">
        <v>703</v>
      </c>
      <c r="I9" s="262" t="s">
        <v>698</v>
      </c>
      <c r="J9" s="262" t="s">
        <v>699</v>
      </c>
      <c r="K9" s="262" t="s">
        <v>702</v>
      </c>
      <c r="L9" s="262" t="s">
        <v>700</v>
      </c>
      <c r="M9" s="260" t="s">
        <v>451</v>
      </c>
      <c r="N9" s="148" t="s">
        <v>701</v>
      </c>
      <c r="O9" s="148"/>
      <c r="P9" s="148"/>
      <c r="Q9" s="148"/>
      <c r="R9" s="148"/>
      <c r="S9" s="262" t="s">
        <v>704</v>
      </c>
      <c r="T9" s="260" t="s">
        <v>718</v>
      </c>
      <c r="U9" s="260" t="s">
        <v>727</v>
      </c>
      <c r="V9" s="250" t="s">
        <v>1021</v>
      </c>
      <c r="W9" s="250" t="s">
        <v>1693</v>
      </c>
      <c r="X9" s="250" t="s">
        <v>1707</v>
      </c>
      <c r="Y9" s="149" t="s">
        <v>1692</v>
      </c>
      <c r="Z9" s="149" t="s">
        <v>1693</v>
      </c>
      <c r="AA9" s="245" t="s">
        <v>1694</v>
      </c>
      <c r="AB9" s="31"/>
    </row>
    <row r="10" spans="1:28" s="150" customFormat="1" ht="48.75" customHeight="1">
      <c r="A10" s="255"/>
      <c r="B10" s="255"/>
      <c r="C10" s="255"/>
      <c r="D10" s="95" t="s">
        <v>1107</v>
      </c>
      <c r="E10" s="95" t="s">
        <v>1108</v>
      </c>
      <c r="F10" s="255"/>
      <c r="G10" s="257"/>
      <c r="H10" s="257"/>
      <c r="I10" s="263" t="s">
        <v>698</v>
      </c>
      <c r="J10" s="263" t="s">
        <v>699</v>
      </c>
      <c r="K10" s="263" t="s">
        <v>702</v>
      </c>
      <c r="L10" s="263" t="s">
        <v>700</v>
      </c>
      <c r="M10" s="261"/>
      <c r="N10" s="151">
        <v>2012</v>
      </c>
      <c r="O10" s="151">
        <v>2013</v>
      </c>
      <c r="P10" s="151">
        <v>2014</v>
      </c>
      <c r="Q10" s="151">
        <v>2015</v>
      </c>
      <c r="R10" s="151">
        <v>2016</v>
      </c>
      <c r="S10" s="263" t="s">
        <v>704</v>
      </c>
      <c r="T10" s="261"/>
      <c r="U10" s="261"/>
      <c r="V10" s="251"/>
      <c r="W10" s="251"/>
      <c r="X10" s="251"/>
      <c r="Y10" s="152" t="s">
        <v>1692</v>
      </c>
      <c r="Z10" s="152" t="s">
        <v>1692</v>
      </c>
      <c r="AA10" s="246"/>
      <c r="AB10" s="31"/>
    </row>
    <row r="11" spans="1:28" s="150" customFormat="1" ht="187.5" customHeight="1">
      <c r="A11" s="271" t="s">
        <v>1238</v>
      </c>
      <c r="B11" s="130" t="s">
        <v>1510</v>
      </c>
      <c r="C11" s="130" t="s">
        <v>1650</v>
      </c>
      <c r="D11" s="92">
        <v>40909</v>
      </c>
      <c r="E11" s="92">
        <v>44896</v>
      </c>
      <c r="F11" s="132" t="s">
        <v>1109</v>
      </c>
      <c r="G11" s="132" t="s">
        <v>1103</v>
      </c>
      <c r="H11" s="130" t="s">
        <v>662</v>
      </c>
      <c r="I11" s="130" t="s">
        <v>544</v>
      </c>
      <c r="J11" s="109" t="s">
        <v>1255</v>
      </c>
      <c r="K11" s="225" t="s">
        <v>663</v>
      </c>
      <c r="L11" s="130" t="s">
        <v>811</v>
      </c>
      <c r="M11" s="93">
        <v>0.5</v>
      </c>
      <c r="N11" s="118"/>
      <c r="O11" s="81">
        <v>1</v>
      </c>
      <c r="P11" s="91"/>
      <c r="Q11" s="91"/>
      <c r="R11" s="91"/>
      <c r="S11" s="130" t="s">
        <v>813</v>
      </c>
      <c r="T11" s="153"/>
      <c r="U11" s="154" t="s">
        <v>735</v>
      </c>
      <c r="V11" s="155" t="s">
        <v>1026</v>
      </c>
      <c r="W11" s="156">
        <v>0.75</v>
      </c>
      <c r="X11" s="136" t="s">
        <v>1844</v>
      </c>
      <c r="Y11" s="157"/>
      <c r="Z11" s="136"/>
      <c r="AA11" s="136"/>
      <c r="AB11" s="57"/>
    </row>
    <row r="12" spans="1:28" ht="75" hidden="1" customHeight="1">
      <c r="A12" s="272"/>
      <c r="B12" s="34"/>
      <c r="C12" s="34"/>
      <c r="D12" s="34"/>
      <c r="E12" s="34"/>
      <c r="F12" s="34"/>
      <c r="G12" s="128" t="s">
        <v>1103</v>
      </c>
      <c r="H12" s="133"/>
      <c r="I12" s="133"/>
      <c r="J12" s="52"/>
      <c r="K12" s="133" t="s">
        <v>664</v>
      </c>
      <c r="L12" s="133" t="s">
        <v>812</v>
      </c>
      <c r="M12" s="53">
        <v>0.5</v>
      </c>
      <c r="N12" s="80"/>
      <c r="O12" s="81"/>
      <c r="P12" s="81">
        <v>1</v>
      </c>
      <c r="Q12" s="54"/>
      <c r="R12" s="54"/>
      <c r="S12" s="133" t="s">
        <v>813</v>
      </c>
      <c r="T12" s="157"/>
      <c r="U12" s="136"/>
      <c r="V12" s="155"/>
      <c r="W12" s="156"/>
      <c r="X12" s="136"/>
      <c r="Y12" s="157"/>
      <c r="Z12" s="136"/>
      <c r="AA12" s="136"/>
      <c r="AB12" s="57"/>
    </row>
    <row r="13" spans="1:28" ht="70.5" hidden="1" customHeight="1">
      <c r="A13" s="272"/>
      <c r="B13" s="34"/>
      <c r="C13" s="34"/>
      <c r="D13" s="34"/>
      <c r="E13" s="34"/>
      <c r="F13" s="34"/>
      <c r="G13" s="128" t="s">
        <v>1103</v>
      </c>
      <c r="H13" s="34"/>
      <c r="I13" s="34"/>
      <c r="J13" s="108" t="s">
        <v>1256</v>
      </c>
      <c r="K13" s="133" t="s">
        <v>665</v>
      </c>
      <c r="L13" s="133" t="s">
        <v>808</v>
      </c>
      <c r="M13" s="53">
        <v>1</v>
      </c>
      <c r="N13" s="55"/>
      <c r="O13" s="54"/>
      <c r="P13" s="54">
        <v>0.33</v>
      </c>
      <c r="Q13" s="54">
        <v>0.33</v>
      </c>
      <c r="R13" s="54">
        <v>0.34</v>
      </c>
      <c r="S13" s="133" t="s">
        <v>813</v>
      </c>
      <c r="T13" s="157"/>
      <c r="U13" s="136" t="s">
        <v>736</v>
      </c>
      <c r="V13" s="155"/>
      <c r="W13" s="156"/>
      <c r="X13" s="136"/>
      <c r="Y13" s="136"/>
      <c r="Z13" s="136"/>
      <c r="AA13" s="136"/>
      <c r="AB13" s="57"/>
    </row>
    <row r="14" spans="1:28" ht="193.5" customHeight="1">
      <c r="A14" s="272"/>
      <c r="B14" s="34"/>
      <c r="C14" s="34"/>
      <c r="D14" s="34"/>
      <c r="E14" s="34"/>
      <c r="F14" s="34"/>
      <c r="G14" s="128" t="s">
        <v>1103</v>
      </c>
      <c r="H14" s="34"/>
      <c r="I14" s="34"/>
      <c r="J14" s="108" t="s">
        <v>1257</v>
      </c>
      <c r="K14" s="133" t="s">
        <v>666</v>
      </c>
      <c r="L14" s="133" t="s">
        <v>464</v>
      </c>
      <c r="M14" s="53">
        <v>0.75</v>
      </c>
      <c r="N14" s="113">
        <v>0.2</v>
      </c>
      <c r="O14" s="112">
        <v>0.2</v>
      </c>
      <c r="P14" s="53">
        <v>0.2</v>
      </c>
      <c r="Q14" s="53">
        <v>0.2</v>
      </c>
      <c r="R14" s="53">
        <v>0.2</v>
      </c>
      <c r="S14" s="133" t="s">
        <v>814</v>
      </c>
      <c r="T14" s="158" t="s">
        <v>898</v>
      </c>
      <c r="U14" s="272" t="s">
        <v>899</v>
      </c>
      <c r="V14" s="155" t="s">
        <v>1084</v>
      </c>
      <c r="W14" s="156">
        <v>1</v>
      </c>
      <c r="X14" s="136"/>
      <c r="Y14" s="159" t="s">
        <v>1703</v>
      </c>
      <c r="Z14" s="136"/>
      <c r="AA14" s="136"/>
      <c r="AB14" s="57"/>
    </row>
    <row r="15" spans="1:28" ht="138.75" customHeight="1">
      <c r="A15" s="272"/>
      <c r="B15" s="34"/>
      <c r="C15" s="34"/>
      <c r="D15" s="34"/>
      <c r="E15" s="34"/>
      <c r="F15" s="34"/>
      <c r="G15" s="128" t="s">
        <v>1103</v>
      </c>
      <c r="H15" s="34"/>
      <c r="I15" s="34"/>
      <c r="J15" s="133"/>
      <c r="K15" s="133" t="s">
        <v>251</v>
      </c>
      <c r="L15" s="133" t="s">
        <v>931</v>
      </c>
      <c r="M15" s="53">
        <v>0.25</v>
      </c>
      <c r="N15" s="113">
        <v>1</v>
      </c>
      <c r="O15" s="53"/>
      <c r="P15" s="53"/>
      <c r="Q15" s="53"/>
      <c r="R15" s="53"/>
      <c r="S15" s="133" t="s">
        <v>814</v>
      </c>
      <c r="T15" s="158"/>
      <c r="U15" s="272"/>
      <c r="V15" s="105" t="s">
        <v>1802</v>
      </c>
      <c r="W15" s="156">
        <v>1</v>
      </c>
      <c r="X15" s="136"/>
      <c r="Y15" s="157"/>
      <c r="Z15" s="136"/>
      <c r="AA15" s="136"/>
      <c r="AB15" s="57"/>
    </row>
    <row r="16" spans="1:28" s="150" customFormat="1" ht="119.25" customHeight="1">
      <c r="A16" s="272"/>
      <c r="B16" s="34"/>
      <c r="C16" s="34"/>
      <c r="D16" s="34"/>
      <c r="E16" s="34"/>
      <c r="F16" s="34"/>
      <c r="G16" s="128" t="s">
        <v>1103</v>
      </c>
      <c r="H16" s="34"/>
      <c r="I16" s="133"/>
      <c r="J16" s="133" t="s">
        <v>667</v>
      </c>
      <c r="K16" s="133" t="s">
        <v>668</v>
      </c>
      <c r="L16" s="133" t="s">
        <v>465</v>
      </c>
      <c r="M16" s="53">
        <v>1</v>
      </c>
      <c r="N16" s="113">
        <v>0.2</v>
      </c>
      <c r="O16" s="112">
        <v>0.2</v>
      </c>
      <c r="P16" s="53">
        <v>0.2</v>
      </c>
      <c r="Q16" s="53">
        <v>0.2</v>
      </c>
      <c r="R16" s="53">
        <v>0.2</v>
      </c>
      <c r="S16" s="133" t="s">
        <v>814</v>
      </c>
      <c r="T16" s="157"/>
      <c r="U16" s="136" t="s">
        <v>900</v>
      </c>
      <c r="V16" s="155" t="s">
        <v>1027</v>
      </c>
      <c r="W16" s="156">
        <v>1</v>
      </c>
      <c r="X16" s="136"/>
      <c r="Y16" s="136" t="s">
        <v>1705</v>
      </c>
      <c r="Z16" s="136"/>
      <c r="AA16" s="136"/>
      <c r="AB16" s="57"/>
    </row>
    <row r="17" spans="1:28" s="150" customFormat="1" ht="199.5" hidden="1" customHeight="1">
      <c r="A17" s="272"/>
      <c r="B17" s="133"/>
      <c r="C17" s="133" t="s">
        <v>1651</v>
      </c>
      <c r="D17" s="51">
        <v>40909</v>
      </c>
      <c r="E17" s="51">
        <v>44896</v>
      </c>
      <c r="F17" s="128" t="s">
        <v>1109</v>
      </c>
      <c r="G17" s="128" t="s">
        <v>1103</v>
      </c>
      <c r="H17" s="34"/>
      <c r="I17" s="34"/>
      <c r="J17" s="108" t="s">
        <v>1351</v>
      </c>
      <c r="K17" s="133" t="s">
        <v>1352</v>
      </c>
      <c r="L17" s="133" t="s">
        <v>1287</v>
      </c>
      <c r="M17" s="53">
        <v>0.4</v>
      </c>
      <c r="N17" s="55"/>
      <c r="O17" s="53">
        <v>1</v>
      </c>
      <c r="P17" s="54"/>
      <c r="Q17" s="54"/>
      <c r="R17" s="54"/>
      <c r="S17" s="133" t="s">
        <v>813</v>
      </c>
      <c r="T17" s="133" t="s">
        <v>1344</v>
      </c>
      <c r="U17" s="133" t="s">
        <v>1345</v>
      </c>
      <c r="V17" s="155"/>
      <c r="W17" s="156"/>
      <c r="X17" s="136"/>
      <c r="Y17" s="157"/>
      <c r="Z17" s="136"/>
      <c r="AA17" s="136"/>
      <c r="AB17" s="57"/>
    </row>
    <row r="18" spans="1:28" ht="207.75" hidden="1" customHeight="1">
      <c r="A18" s="272"/>
      <c r="B18" s="133"/>
      <c r="C18" s="133" t="s">
        <v>1652</v>
      </c>
      <c r="D18" s="51">
        <v>40909</v>
      </c>
      <c r="E18" s="51">
        <v>44896</v>
      </c>
      <c r="F18" s="128" t="s">
        <v>1109</v>
      </c>
      <c r="G18" s="128" t="s">
        <v>1103</v>
      </c>
      <c r="H18" s="34"/>
      <c r="I18" s="34"/>
      <c r="J18" s="133"/>
      <c r="K18" s="133" t="s">
        <v>1679</v>
      </c>
      <c r="L18" s="133" t="s">
        <v>1284</v>
      </c>
      <c r="M18" s="53">
        <v>0.6</v>
      </c>
      <c r="N18" s="55"/>
      <c r="O18" s="54"/>
      <c r="P18" s="53">
        <v>0.33</v>
      </c>
      <c r="Q18" s="53">
        <v>0.33</v>
      </c>
      <c r="R18" s="53">
        <v>0.34</v>
      </c>
      <c r="S18" s="133" t="s">
        <v>813</v>
      </c>
      <c r="T18" s="133" t="s">
        <v>1344</v>
      </c>
      <c r="U18" s="133" t="s">
        <v>1345</v>
      </c>
      <c r="V18" s="155"/>
      <c r="W18" s="156"/>
      <c r="X18" s="136"/>
      <c r="Y18" s="157"/>
      <c r="Z18" s="136"/>
      <c r="AA18" s="136"/>
      <c r="AB18" s="57"/>
    </row>
    <row r="19" spans="1:28" ht="156" hidden="1" customHeight="1">
      <c r="A19" s="272"/>
      <c r="B19" s="133"/>
      <c r="C19" s="133" t="s">
        <v>1513</v>
      </c>
      <c r="D19" s="50">
        <v>40909</v>
      </c>
      <c r="E19" s="50">
        <v>44896</v>
      </c>
      <c r="F19" s="128" t="s">
        <v>1109</v>
      </c>
      <c r="G19" s="128" t="s">
        <v>1103</v>
      </c>
      <c r="H19" s="34"/>
      <c r="I19" s="34"/>
      <c r="J19" s="108" t="s">
        <v>1653</v>
      </c>
      <c r="K19" s="133" t="s">
        <v>1355</v>
      </c>
      <c r="L19" s="133" t="s">
        <v>1353</v>
      </c>
      <c r="M19" s="53">
        <v>1</v>
      </c>
      <c r="N19" s="55"/>
      <c r="O19" s="54"/>
      <c r="P19" s="53">
        <v>0.33</v>
      </c>
      <c r="Q19" s="53">
        <v>0.33</v>
      </c>
      <c r="R19" s="53">
        <v>0.33</v>
      </c>
      <c r="S19" s="133" t="s">
        <v>813</v>
      </c>
      <c r="T19" s="133" t="s">
        <v>1344</v>
      </c>
      <c r="U19" s="133" t="s">
        <v>1345</v>
      </c>
      <c r="V19" s="155"/>
      <c r="W19" s="160"/>
      <c r="X19" s="161"/>
      <c r="Y19" s="79"/>
      <c r="Z19" s="161"/>
      <c r="AA19" s="161"/>
      <c r="AB19" s="57"/>
    </row>
    <row r="20" spans="1:28" ht="106.5" hidden="1" customHeight="1">
      <c r="A20" s="154"/>
      <c r="B20" s="130" t="s">
        <v>1540</v>
      </c>
      <c r="C20" s="130" t="s">
        <v>1539</v>
      </c>
      <c r="D20" s="92">
        <v>40909</v>
      </c>
      <c r="E20" s="92">
        <v>44896</v>
      </c>
      <c r="F20" s="130" t="s">
        <v>1120</v>
      </c>
      <c r="G20" s="132" t="s">
        <v>1103</v>
      </c>
      <c r="H20" s="130"/>
      <c r="I20" s="130"/>
      <c r="J20" s="130" t="s">
        <v>669</v>
      </c>
      <c r="K20" s="130" t="s">
        <v>670</v>
      </c>
      <c r="L20" s="130" t="s">
        <v>766</v>
      </c>
      <c r="M20" s="93">
        <v>0.4</v>
      </c>
      <c r="N20" s="94"/>
      <c r="O20" s="94">
        <v>1</v>
      </c>
      <c r="P20" s="93"/>
      <c r="Q20" s="93"/>
      <c r="R20" s="93"/>
      <c r="S20" s="130" t="s">
        <v>893</v>
      </c>
      <c r="T20" s="130" t="s">
        <v>542</v>
      </c>
      <c r="U20" s="154" t="s">
        <v>543</v>
      </c>
      <c r="V20" s="155"/>
      <c r="W20" s="156"/>
      <c r="X20" s="136"/>
      <c r="Y20" s="157"/>
      <c r="Z20" s="136"/>
      <c r="AA20" s="136"/>
      <c r="AB20" s="57"/>
    </row>
    <row r="21" spans="1:28" ht="107.25" hidden="1" customHeight="1">
      <c r="A21" s="154"/>
      <c r="B21" s="133"/>
      <c r="C21" s="133"/>
      <c r="D21" s="50"/>
      <c r="E21" s="50"/>
      <c r="F21" s="133"/>
      <c r="G21" s="128" t="s">
        <v>1103</v>
      </c>
      <c r="H21" s="34"/>
      <c r="I21" s="133"/>
      <c r="J21" s="133"/>
      <c r="K21" s="133" t="s">
        <v>1685</v>
      </c>
      <c r="L21" s="133" t="s">
        <v>1284</v>
      </c>
      <c r="M21" s="53">
        <v>0.6</v>
      </c>
      <c r="N21" s="53"/>
      <c r="O21" s="53"/>
      <c r="P21" s="53">
        <v>0.33</v>
      </c>
      <c r="Q21" s="53">
        <v>0.33</v>
      </c>
      <c r="R21" s="53">
        <v>0.34</v>
      </c>
      <c r="S21" s="133" t="s">
        <v>813</v>
      </c>
      <c r="T21" s="130" t="s">
        <v>542</v>
      </c>
      <c r="U21" s="154" t="s">
        <v>543</v>
      </c>
      <c r="V21" s="155"/>
      <c r="W21" s="156"/>
      <c r="X21" s="136"/>
      <c r="Y21" s="136"/>
      <c r="Z21" s="136"/>
      <c r="AA21" s="136"/>
      <c r="AB21" s="57"/>
    </row>
    <row r="22" spans="1:28" s="57" customFormat="1" ht="159.75" hidden="1" customHeight="1">
      <c r="A22" s="267" t="s">
        <v>1238</v>
      </c>
      <c r="B22" s="234" t="s">
        <v>1514</v>
      </c>
      <c r="C22" s="133" t="s">
        <v>1515</v>
      </c>
      <c r="D22" s="63">
        <v>40909</v>
      </c>
      <c r="E22" s="63">
        <v>44896</v>
      </c>
      <c r="F22" s="64" t="s">
        <v>1120</v>
      </c>
      <c r="G22" s="128" t="s">
        <v>1103</v>
      </c>
      <c r="H22" s="133" t="s">
        <v>1478</v>
      </c>
      <c r="I22" s="34"/>
      <c r="J22" s="108" t="s">
        <v>1479</v>
      </c>
      <c r="K22" s="133" t="s">
        <v>1480</v>
      </c>
      <c r="L22" s="133" t="s">
        <v>1290</v>
      </c>
      <c r="M22" s="53">
        <v>0.4</v>
      </c>
      <c r="N22" s="34"/>
      <c r="O22" s="53">
        <v>1</v>
      </c>
      <c r="P22" s="34"/>
      <c r="Q22" s="34"/>
      <c r="R22" s="34"/>
      <c r="S22" s="64" t="s">
        <v>1120</v>
      </c>
      <c r="T22" s="130" t="s">
        <v>1661</v>
      </c>
      <c r="U22" s="130" t="s">
        <v>1662</v>
      </c>
      <c r="V22" s="62"/>
      <c r="W22" s="156"/>
      <c r="X22" s="136"/>
      <c r="Y22" s="79"/>
      <c r="Z22" s="136"/>
      <c r="AA22" s="136"/>
    </row>
    <row r="23" spans="1:28" s="57" customFormat="1" ht="110.25" hidden="1" customHeight="1">
      <c r="A23" s="267"/>
      <c r="B23" s="269"/>
      <c r="C23" s="133"/>
      <c r="D23" s="63"/>
      <c r="E23" s="63"/>
      <c r="F23" s="64"/>
      <c r="G23" s="128" t="s">
        <v>1103</v>
      </c>
      <c r="H23" s="34"/>
      <c r="I23" s="34"/>
      <c r="J23" s="133"/>
      <c r="K23" s="133" t="s">
        <v>1481</v>
      </c>
      <c r="L23" s="133" t="s">
        <v>1288</v>
      </c>
      <c r="M23" s="53">
        <v>0.6</v>
      </c>
      <c r="N23" s="34"/>
      <c r="O23" s="34"/>
      <c r="P23" s="53">
        <v>0.33</v>
      </c>
      <c r="Q23" s="53">
        <v>0.33</v>
      </c>
      <c r="R23" s="53">
        <v>0.34</v>
      </c>
      <c r="S23" s="64" t="s">
        <v>1120</v>
      </c>
      <c r="T23" s="130" t="s">
        <v>1661</v>
      </c>
      <c r="U23" s="130" t="s">
        <v>1662</v>
      </c>
      <c r="V23" s="62"/>
      <c r="W23" s="156"/>
      <c r="X23" s="136"/>
      <c r="Y23" s="136"/>
      <c r="Z23" s="136"/>
      <c r="AA23" s="136"/>
    </row>
    <row r="24" spans="1:28" s="57" customFormat="1" ht="93.75" hidden="1" customHeight="1">
      <c r="A24" s="267"/>
      <c r="B24" s="269"/>
      <c r="C24" s="133" t="s">
        <v>1521</v>
      </c>
      <c r="D24" s="63">
        <v>40909</v>
      </c>
      <c r="E24" s="63">
        <v>44896</v>
      </c>
      <c r="F24" s="64" t="s">
        <v>1120</v>
      </c>
      <c r="G24" s="128" t="s">
        <v>1103</v>
      </c>
      <c r="H24" s="34"/>
      <c r="I24" s="34"/>
      <c r="J24" s="108" t="s">
        <v>1516</v>
      </c>
      <c r="K24" s="133" t="s">
        <v>1518</v>
      </c>
      <c r="L24" s="133" t="s">
        <v>1291</v>
      </c>
      <c r="M24" s="53">
        <v>1</v>
      </c>
      <c r="N24" s="34"/>
      <c r="O24" s="53">
        <v>1</v>
      </c>
      <c r="P24" s="34"/>
      <c r="Q24" s="34"/>
      <c r="R24" s="34"/>
      <c r="S24" s="64" t="s">
        <v>1120</v>
      </c>
      <c r="T24" s="130" t="s">
        <v>1661</v>
      </c>
      <c r="U24" s="130" t="s">
        <v>1662</v>
      </c>
      <c r="V24" s="62"/>
      <c r="W24" s="156"/>
      <c r="X24" s="136"/>
      <c r="Y24" s="136"/>
      <c r="Z24" s="136"/>
      <c r="AA24" s="136"/>
    </row>
    <row r="25" spans="1:28" s="57" customFormat="1" ht="111" customHeight="1">
      <c r="A25" s="267"/>
      <c r="B25" s="269"/>
      <c r="C25" s="133" t="s">
        <v>1522</v>
      </c>
      <c r="D25" s="63">
        <v>40909</v>
      </c>
      <c r="E25" s="63">
        <v>44896</v>
      </c>
      <c r="F25" s="64" t="s">
        <v>1120</v>
      </c>
      <c r="G25" s="128" t="s">
        <v>1103</v>
      </c>
      <c r="H25" s="34"/>
      <c r="I25" s="34"/>
      <c r="J25" s="108" t="s">
        <v>1517</v>
      </c>
      <c r="K25" s="133" t="s">
        <v>1519</v>
      </c>
      <c r="L25" s="133" t="s">
        <v>1292</v>
      </c>
      <c r="M25" s="53">
        <v>0.4</v>
      </c>
      <c r="N25" s="53">
        <v>1</v>
      </c>
      <c r="O25" s="34"/>
      <c r="P25" s="34"/>
      <c r="Q25" s="34"/>
      <c r="R25" s="34"/>
      <c r="S25" s="64" t="s">
        <v>1120</v>
      </c>
      <c r="T25" s="130" t="s">
        <v>1661</v>
      </c>
      <c r="U25" s="130" t="s">
        <v>1662</v>
      </c>
      <c r="V25" s="62"/>
      <c r="W25" s="156"/>
      <c r="X25" s="136"/>
      <c r="Y25" s="136"/>
      <c r="Z25" s="136"/>
      <c r="AA25" s="136"/>
    </row>
    <row r="26" spans="1:28" s="57" customFormat="1" ht="81" hidden="1" customHeight="1">
      <c r="A26" s="267"/>
      <c r="B26" s="269"/>
      <c r="C26" s="133"/>
      <c r="D26" s="63"/>
      <c r="E26" s="63"/>
      <c r="F26" s="64"/>
      <c r="G26" s="128" t="s">
        <v>1103</v>
      </c>
      <c r="H26" s="34"/>
      <c r="I26" s="34"/>
      <c r="J26" s="34"/>
      <c r="K26" s="133" t="s">
        <v>1520</v>
      </c>
      <c r="L26" s="133" t="s">
        <v>1293</v>
      </c>
      <c r="M26" s="53">
        <v>0.6</v>
      </c>
      <c r="N26" s="53"/>
      <c r="O26" s="53">
        <v>1</v>
      </c>
      <c r="P26" s="53"/>
      <c r="Q26" s="53"/>
      <c r="R26" s="53"/>
      <c r="S26" s="64" t="s">
        <v>1120</v>
      </c>
      <c r="T26" s="130" t="s">
        <v>1661</v>
      </c>
      <c r="U26" s="130" t="s">
        <v>1662</v>
      </c>
      <c r="V26" s="62"/>
      <c r="W26" s="156"/>
      <c r="X26" s="136"/>
      <c r="Y26" s="136"/>
      <c r="Z26" s="136"/>
      <c r="AA26" s="136"/>
    </row>
    <row r="27" spans="1:28" s="57" customFormat="1" ht="171.75" hidden="1" customHeight="1">
      <c r="A27" s="267"/>
      <c r="B27" s="269"/>
      <c r="C27" s="133" t="s">
        <v>1526</v>
      </c>
      <c r="D27" s="63">
        <v>40909</v>
      </c>
      <c r="E27" s="63">
        <v>44896</v>
      </c>
      <c r="F27" s="64" t="s">
        <v>1120</v>
      </c>
      <c r="G27" s="128" t="s">
        <v>1103</v>
      </c>
      <c r="H27" s="34"/>
      <c r="I27" s="34"/>
      <c r="J27" s="108" t="s">
        <v>1523</v>
      </c>
      <c r="K27" s="133" t="s">
        <v>1524</v>
      </c>
      <c r="L27" s="133" t="s">
        <v>1324</v>
      </c>
      <c r="M27" s="53">
        <v>0.4</v>
      </c>
      <c r="N27" s="34"/>
      <c r="O27" s="53">
        <v>1</v>
      </c>
      <c r="P27" s="34"/>
      <c r="Q27" s="34"/>
      <c r="R27" s="34"/>
      <c r="S27" s="64" t="s">
        <v>1120</v>
      </c>
      <c r="T27" s="130" t="s">
        <v>1661</v>
      </c>
      <c r="U27" s="130" t="s">
        <v>1662</v>
      </c>
      <c r="V27" s="62"/>
      <c r="W27" s="156"/>
      <c r="X27" s="136"/>
      <c r="Y27" s="34"/>
      <c r="Z27" s="136"/>
      <c r="AA27" s="136"/>
    </row>
    <row r="28" spans="1:28" s="57" customFormat="1" ht="171.75" hidden="1" customHeight="1">
      <c r="A28" s="267"/>
      <c r="B28" s="269"/>
      <c r="C28" s="133"/>
      <c r="D28" s="63"/>
      <c r="E28" s="63"/>
      <c r="F28" s="64"/>
      <c r="G28" s="128"/>
      <c r="H28" s="34"/>
      <c r="I28" s="34"/>
      <c r="J28" s="133"/>
      <c r="K28" s="133" t="s">
        <v>1657</v>
      </c>
      <c r="L28" s="133" t="s">
        <v>1655</v>
      </c>
      <c r="M28" s="53">
        <v>0.4</v>
      </c>
      <c r="N28" s="34"/>
      <c r="O28" s="53"/>
      <c r="P28" s="53">
        <v>0.33</v>
      </c>
      <c r="Q28" s="53">
        <v>0.33</v>
      </c>
      <c r="R28" s="53">
        <v>0.33</v>
      </c>
      <c r="S28" s="64" t="s">
        <v>1120</v>
      </c>
      <c r="T28" s="130" t="s">
        <v>1661</v>
      </c>
      <c r="U28" s="130" t="s">
        <v>1662</v>
      </c>
      <c r="V28" s="62"/>
      <c r="W28" s="156"/>
      <c r="X28" s="136"/>
      <c r="Y28" s="136" t="s">
        <v>1704</v>
      </c>
      <c r="Z28" s="136"/>
      <c r="AA28" s="136"/>
    </row>
    <row r="29" spans="1:28" s="57" customFormat="1" ht="96.75" hidden="1" customHeight="1">
      <c r="A29" s="268"/>
      <c r="B29" s="270"/>
      <c r="C29" s="133" t="s">
        <v>1527</v>
      </c>
      <c r="D29" s="63">
        <v>40909</v>
      </c>
      <c r="E29" s="63">
        <v>44896</v>
      </c>
      <c r="F29" s="133" t="s">
        <v>1120</v>
      </c>
      <c r="G29" s="128" t="s">
        <v>1103</v>
      </c>
      <c r="H29" s="34"/>
      <c r="I29" s="34"/>
      <c r="J29" s="34"/>
      <c r="K29" s="133" t="s">
        <v>1525</v>
      </c>
      <c r="L29" s="133" t="s">
        <v>1654</v>
      </c>
      <c r="M29" s="53">
        <v>0.2</v>
      </c>
      <c r="N29" s="34"/>
      <c r="O29" s="34"/>
      <c r="P29" s="53">
        <v>1</v>
      </c>
      <c r="Q29" s="53"/>
      <c r="R29" s="53"/>
      <c r="S29" s="133" t="s">
        <v>1120</v>
      </c>
      <c r="T29" s="130" t="s">
        <v>1661</v>
      </c>
      <c r="U29" s="130" t="s">
        <v>1662</v>
      </c>
      <c r="V29" s="62"/>
      <c r="W29" s="156"/>
      <c r="X29" s="136"/>
      <c r="Y29" s="34"/>
      <c r="Z29" s="136"/>
      <c r="AA29" s="136"/>
    </row>
    <row r="30" spans="1:28" ht="30.75" customHeight="1">
      <c r="A30" s="82"/>
      <c r="B30" s="83"/>
      <c r="C30" s="84"/>
      <c r="D30" s="85"/>
      <c r="E30" s="85"/>
      <c r="F30" s="86"/>
      <c r="G30" s="162"/>
      <c r="H30" s="162"/>
      <c r="I30" s="162"/>
      <c r="J30" s="162"/>
      <c r="K30" s="162"/>
      <c r="L30" s="162"/>
      <c r="M30" s="162"/>
      <c r="N30" s="162"/>
      <c r="O30" s="162"/>
      <c r="P30" s="162"/>
      <c r="Q30" s="162"/>
      <c r="R30" s="162"/>
      <c r="S30" s="162"/>
      <c r="T30" s="162"/>
      <c r="U30" s="162"/>
      <c r="V30" s="162"/>
      <c r="W30" s="162"/>
      <c r="X30" s="162"/>
      <c r="Y30" s="154"/>
      <c r="Z30" s="136"/>
      <c r="AA30" s="136"/>
      <c r="AB30" s="57"/>
    </row>
    <row r="31" spans="1:28" ht="75">
      <c r="A31" s="264" t="s">
        <v>1237</v>
      </c>
      <c r="B31" s="234" t="s">
        <v>1484</v>
      </c>
      <c r="C31" s="234" t="s">
        <v>1656</v>
      </c>
      <c r="D31" s="273">
        <v>40909</v>
      </c>
      <c r="E31" s="273">
        <v>44896</v>
      </c>
      <c r="F31" s="234" t="s">
        <v>1134</v>
      </c>
      <c r="G31" s="264" t="s">
        <v>1103</v>
      </c>
      <c r="H31" s="234" t="s">
        <v>645</v>
      </c>
      <c r="I31" s="234" t="s">
        <v>244</v>
      </c>
      <c r="J31" s="108" t="s">
        <v>646</v>
      </c>
      <c r="K31" s="52" t="s">
        <v>245</v>
      </c>
      <c r="L31" s="133" t="s">
        <v>461</v>
      </c>
      <c r="M31" s="53">
        <v>0.5</v>
      </c>
      <c r="N31" s="113">
        <v>0.2</v>
      </c>
      <c r="O31" s="112">
        <v>0.2</v>
      </c>
      <c r="P31" s="53">
        <v>0.2</v>
      </c>
      <c r="Q31" s="53">
        <v>0.2</v>
      </c>
      <c r="R31" s="53">
        <v>0.2</v>
      </c>
      <c r="S31" s="133" t="s">
        <v>717</v>
      </c>
      <c r="T31" s="136" t="s">
        <v>719</v>
      </c>
      <c r="U31" s="277" t="s">
        <v>734</v>
      </c>
      <c r="V31" s="155" t="s">
        <v>1022</v>
      </c>
      <c r="W31" s="156">
        <v>1</v>
      </c>
      <c r="X31" s="136"/>
      <c r="Y31" s="98" t="s">
        <v>1695</v>
      </c>
      <c r="Z31" s="136"/>
      <c r="AA31" s="136"/>
      <c r="AB31" s="57"/>
    </row>
    <row r="32" spans="1:28" ht="90">
      <c r="A32" s="237"/>
      <c r="B32" s="237"/>
      <c r="C32" s="237"/>
      <c r="D32" s="237"/>
      <c r="E32" s="237"/>
      <c r="F32" s="237"/>
      <c r="G32" s="265"/>
      <c r="H32" s="235"/>
      <c r="I32" s="237"/>
      <c r="J32" s="52"/>
      <c r="K32" s="52" t="s">
        <v>246</v>
      </c>
      <c r="L32" s="133" t="s">
        <v>462</v>
      </c>
      <c r="M32" s="53">
        <v>0.5</v>
      </c>
      <c r="N32" s="113">
        <v>0.2</v>
      </c>
      <c r="O32" s="112">
        <v>0.2</v>
      </c>
      <c r="P32" s="53">
        <v>0.2</v>
      </c>
      <c r="Q32" s="53">
        <v>0.2</v>
      </c>
      <c r="R32" s="53">
        <v>0.2</v>
      </c>
      <c r="S32" s="133" t="s">
        <v>717</v>
      </c>
      <c r="T32" s="136" t="s">
        <v>719</v>
      </c>
      <c r="U32" s="266"/>
      <c r="V32" s="155" t="s">
        <v>1023</v>
      </c>
      <c r="W32" s="156">
        <v>1</v>
      </c>
      <c r="X32" s="136"/>
      <c r="Y32" s="99" t="s">
        <v>1696</v>
      </c>
      <c r="Z32" s="136"/>
      <c r="AA32" s="136"/>
      <c r="AB32" s="57"/>
    </row>
    <row r="33" spans="1:28" ht="86.25" customHeight="1">
      <c r="A33" s="237"/>
      <c r="B33" s="237"/>
      <c r="C33" s="237"/>
      <c r="D33" s="237"/>
      <c r="E33" s="237"/>
      <c r="F33" s="237"/>
      <c r="G33" s="265"/>
      <c r="H33" s="235"/>
      <c r="I33" s="237"/>
      <c r="J33" s="274" t="s">
        <v>647</v>
      </c>
      <c r="K33" s="52" t="s">
        <v>648</v>
      </c>
      <c r="L33" s="133" t="s">
        <v>807</v>
      </c>
      <c r="M33" s="53">
        <v>0.2</v>
      </c>
      <c r="N33" s="54">
        <v>1</v>
      </c>
      <c r="O33" s="55"/>
      <c r="P33" s="55"/>
      <c r="Q33" s="55"/>
      <c r="R33" s="55"/>
      <c r="S33" s="278" t="s">
        <v>247</v>
      </c>
      <c r="T33" s="281" t="s">
        <v>248</v>
      </c>
      <c r="U33" s="281" t="s">
        <v>734</v>
      </c>
      <c r="V33" s="155" t="s">
        <v>1024</v>
      </c>
      <c r="W33" s="156">
        <v>1</v>
      </c>
      <c r="X33" s="136"/>
      <c r="Y33" s="136"/>
      <c r="Z33" s="136"/>
      <c r="AA33" s="136"/>
      <c r="AB33" s="57"/>
    </row>
    <row r="34" spans="1:28" ht="105.75" hidden="1" customHeight="1">
      <c r="A34" s="237"/>
      <c r="B34" s="237"/>
      <c r="C34" s="237"/>
      <c r="D34" s="237"/>
      <c r="E34" s="237"/>
      <c r="F34" s="237"/>
      <c r="G34" s="265"/>
      <c r="H34" s="235"/>
      <c r="I34" s="237"/>
      <c r="J34" s="275"/>
      <c r="K34" s="52" t="s">
        <v>249</v>
      </c>
      <c r="L34" s="133" t="s">
        <v>808</v>
      </c>
      <c r="M34" s="53">
        <v>0.2</v>
      </c>
      <c r="N34" s="55"/>
      <c r="O34" s="119">
        <v>1</v>
      </c>
      <c r="P34" s="55"/>
      <c r="Q34" s="55"/>
      <c r="R34" s="55"/>
      <c r="S34" s="279"/>
      <c r="T34" s="282"/>
      <c r="U34" s="282"/>
      <c r="V34" s="155" t="s">
        <v>1097</v>
      </c>
      <c r="W34" s="156">
        <v>1</v>
      </c>
      <c r="X34" s="136"/>
      <c r="Y34" s="136" t="s">
        <v>1697</v>
      </c>
      <c r="Z34" s="136"/>
      <c r="AA34" s="136"/>
      <c r="AB34" s="57"/>
    </row>
    <row r="35" spans="1:28" ht="76.5" hidden="1">
      <c r="A35" s="237"/>
      <c r="B35" s="238"/>
      <c r="C35" s="238"/>
      <c r="D35" s="238"/>
      <c r="E35" s="238"/>
      <c r="F35" s="238"/>
      <c r="G35" s="266"/>
      <c r="H35" s="236"/>
      <c r="I35" s="238"/>
      <c r="J35" s="276"/>
      <c r="K35" s="133" t="s">
        <v>649</v>
      </c>
      <c r="L35" s="133" t="s">
        <v>809</v>
      </c>
      <c r="M35" s="53">
        <v>0.6</v>
      </c>
      <c r="N35" s="55"/>
      <c r="O35" s="55"/>
      <c r="P35" s="53">
        <v>0.33</v>
      </c>
      <c r="Q35" s="53">
        <v>0.33</v>
      </c>
      <c r="R35" s="53">
        <v>0.34</v>
      </c>
      <c r="S35" s="280"/>
      <c r="T35" s="283"/>
      <c r="U35" s="283"/>
      <c r="V35" s="155"/>
      <c r="W35" s="156"/>
      <c r="X35" s="136"/>
      <c r="Y35" s="99" t="s">
        <v>1698</v>
      </c>
      <c r="Z35" s="136"/>
      <c r="AA35" s="136"/>
      <c r="AB35" s="57"/>
    </row>
    <row r="36" spans="1:28" ht="368.25" customHeight="1">
      <c r="A36" s="237"/>
      <c r="B36" s="234" t="s">
        <v>1488</v>
      </c>
      <c r="C36" s="133" t="s">
        <v>1489</v>
      </c>
      <c r="D36" s="51">
        <v>40909</v>
      </c>
      <c r="E36" s="51">
        <v>41061</v>
      </c>
      <c r="F36" s="128" t="s">
        <v>1250</v>
      </c>
      <c r="G36" s="264" t="s">
        <v>1103</v>
      </c>
      <c r="H36" s="34"/>
      <c r="I36" s="34"/>
      <c r="J36" s="108" t="s">
        <v>1278</v>
      </c>
      <c r="K36" s="226" t="s">
        <v>1280</v>
      </c>
      <c r="L36" s="133" t="s">
        <v>1276</v>
      </c>
      <c r="M36" s="53">
        <v>1</v>
      </c>
      <c r="N36" s="53">
        <v>1</v>
      </c>
      <c r="O36" s="34"/>
      <c r="P36" s="34"/>
      <c r="Q36" s="34"/>
      <c r="R36" s="34"/>
      <c r="S36" s="133" t="s">
        <v>1277</v>
      </c>
      <c r="T36" s="133" t="s">
        <v>1663</v>
      </c>
      <c r="U36" s="163" t="s">
        <v>1678</v>
      </c>
      <c r="V36" s="164"/>
      <c r="W36" s="53">
        <v>0</v>
      </c>
      <c r="X36" s="136" t="s">
        <v>1861</v>
      </c>
      <c r="Y36" s="136"/>
      <c r="Z36" s="136"/>
      <c r="AA36" s="136"/>
      <c r="AB36" s="57"/>
    </row>
    <row r="37" spans="1:28" ht="178.5" customHeight="1">
      <c r="A37" s="237"/>
      <c r="B37" s="269"/>
      <c r="C37" s="133" t="s">
        <v>1490</v>
      </c>
      <c r="D37" s="51">
        <v>40909</v>
      </c>
      <c r="E37" s="51">
        <v>41244</v>
      </c>
      <c r="F37" s="128" t="s">
        <v>1250</v>
      </c>
      <c r="G37" s="265"/>
      <c r="H37" s="34"/>
      <c r="I37" s="34"/>
      <c r="J37" s="108" t="s">
        <v>1279</v>
      </c>
      <c r="K37" s="133" t="s">
        <v>1281</v>
      </c>
      <c r="L37" s="133" t="s">
        <v>1273</v>
      </c>
      <c r="M37" s="53">
        <v>0.4</v>
      </c>
      <c r="N37" s="53">
        <v>1</v>
      </c>
      <c r="O37" s="34"/>
      <c r="P37" s="34"/>
      <c r="Q37" s="34"/>
      <c r="R37" s="34"/>
      <c r="S37" s="133" t="s">
        <v>1277</v>
      </c>
      <c r="T37" s="133" t="s">
        <v>1663</v>
      </c>
      <c r="U37" s="163" t="s">
        <v>1678</v>
      </c>
      <c r="V37" s="164"/>
      <c r="W37" s="53">
        <v>1</v>
      </c>
      <c r="X37" s="136"/>
      <c r="Y37" s="136"/>
      <c r="Z37" s="136"/>
      <c r="AA37" s="136"/>
      <c r="AB37" s="57"/>
    </row>
    <row r="38" spans="1:28" ht="178.5" hidden="1" customHeight="1">
      <c r="A38" s="237"/>
      <c r="B38" s="269"/>
      <c r="C38" s="133"/>
      <c r="D38" s="51"/>
      <c r="E38" s="51"/>
      <c r="F38" s="128"/>
      <c r="G38" s="265"/>
      <c r="H38" s="34"/>
      <c r="I38" s="34"/>
      <c r="J38" s="133"/>
      <c r="K38" s="133" t="s">
        <v>1687</v>
      </c>
      <c r="L38" s="133" t="s">
        <v>1686</v>
      </c>
      <c r="M38" s="53">
        <v>0.6</v>
      </c>
      <c r="N38" s="53"/>
      <c r="O38" s="53">
        <v>0.25</v>
      </c>
      <c r="P38" s="53">
        <v>0.25</v>
      </c>
      <c r="Q38" s="53">
        <v>0.25</v>
      </c>
      <c r="R38" s="53">
        <v>0.25</v>
      </c>
      <c r="S38" s="133" t="s">
        <v>1277</v>
      </c>
      <c r="T38" s="133"/>
      <c r="U38" s="163"/>
      <c r="V38" s="164"/>
      <c r="W38" s="156"/>
      <c r="X38" s="136"/>
      <c r="Y38" s="136"/>
      <c r="Z38" s="136"/>
      <c r="AA38" s="136"/>
      <c r="AB38" s="57"/>
    </row>
    <row r="39" spans="1:28" ht="156.75" customHeight="1">
      <c r="A39" s="237"/>
      <c r="B39" s="270"/>
      <c r="C39" s="133" t="s">
        <v>1491</v>
      </c>
      <c r="D39" s="51">
        <v>40909</v>
      </c>
      <c r="E39" s="51">
        <v>44896</v>
      </c>
      <c r="F39" s="128" t="s">
        <v>1250</v>
      </c>
      <c r="G39" s="265"/>
      <c r="H39" s="133" t="s">
        <v>653</v>
      </c>
      <c r="I39" s="133" t="s">
        <v>709</v>
      </c>
      <c r="J39" s="108" t="s">
        <v>654</v>
      </c>
      <c r="K39" s="133" t="s">
        <v>655</v>
      </c>
      <c r="L39" s="133" t="s">
        <v>454</v>
      </c>
      <c r="M39" s="53">
        <v>1</v>
      </c>
      <c r="N39" s="113">
        <v>0.2</v>
      </c>
      <c r="O39" s="112">
        <v>0.2</v>
      </c>
      <c r="P39" s="53">
        <v>0.2</v>
      </c>
      <c r="Q39" s="53">
        <v>0.2</v>
      </c>
      <c r="R39" s="53">
        <v>0.2</v>
      </c>
      <c r="S39" s="133" t="s">
        <v>821</v>
      </c>
      <c r="T39" s="133"/>
      <c r="U39" s="136"/>
      <c r="V39" s="105" t="s">
        <v>1700</v>
      </c>
      <c r="W39" s="156">
        <v>1</v>
      </c>
      <c r="X39" s="136"/>
      <c r="Y39" s="136" t="s">
        <v>1700</v>
      </c>
      <c r="Z39" s="136"/>
      <c r="AA39" s="136"/>
      <c r="AB39" s="57"/>
    </row>
    <row r="40" spans="1:28" ht="158.25" customHeight="1">
      <c r="A40" s="237"/>
      <c r="B40" s="129"/>
      <c r="C40" s="133"/>
      <c r="D40" s="51"/>
      <c r="E40" s="51"/>
      <c r="F40" s="128"/>
      <c r="G40" s="265"/>
      <c r="H40" s="34"/>
      <c r="I40" s="34"/>
      <c r="J40" s="108" t="s">
        <v>656</v>
      </c>
      <c r="K40" s="133" t="s">
        <v>657</v>
      </c>
      <c r="L40" s="133" t="s">
        <v>453</v>
      </c>
      <c r="M40" s="53">
        <v>1</v>
      </c>
      <c r="N40" s="113">
        <v>0.2</v>
      </c>
      <c r="O40" s="112">
        <v>0.2</v>
      </c>
      <c r="P40" s="53">
        <v>0.2</v>
      </c>
      <c r="Q40" s="53">
        <v>0.2</v>
      </c>
      <c r="R40" s="53">
        <v>0.2</v>
      </c>
      <c r="S40" s="133" t="s">
        <v>821</v>
      </c>
      <c r="T40" s="133"/>
      <c r="U40" s="136"/>
      <c r="V40" s="105" t="s">
        <v>1803</v>
      </c>
      <c r="W40" s="156">
        <v>1</v>
      </c>
      <c r="X40" s="136"/>
      <c r="Y40" s="136" t="s">
        <v>1701</v>
      </c>
      <c r="Z40" s="136"/>
      <c r="AA40" s="136"/>
      <c r="AB40" s="57"/>
    </row>
    <row r="41" spans="1:28" ht="116.25" customHeight="1">
      <c r="A41" s="237"/>
      <c r="B41" s="129"/>
      <c r="C41" s="133"/>
      <c r="D41" s="51"/>
      <c r="E41" s="51"/>
      <c r="F41" s="128"/>
      <c r="G41" s="266"/>
      <c r="H41" s="34"/>
      <c r="I41" s="34"/>
      <c r="J41" s="133" t="s">
        <v>658</v>
      </c>
      <c r="K41" s="133" t="s">
        <v>659</v>
      </c>
      <c r="L41" s="133" t="s">
        <v>452</v>
      </c>
      <c r="M41" s="53">
        <v>1</v>
      </c>
      <c r="N41" s="113">
        <v>0.2</v>
      </c>
      <c r="O41" s="53">
        <v>0.2</v>
      </c>
      <c r="P41" s="53">
        <v>0.2</v>
      </c>
      <c r="Q41" s="53">
        <v>0.2</v>
      </c>
      <c r="R41" s="53">
        <v>0.2</v>
      </c>
      <c r="S41" s="133" t="s">
        <v>821</v>
      </c>
      <c r="T41" s="133"/>
      <c r="U41" s="136"/>
      <c r="V41" s="120" t="s">
        <v>1804</v>
      </c>
      <c r="W41" s="53">
        <v>1</v>
      </c>
      <c r="X41" s="34"/>
      <c r="Y41" s="34"/>
      <c r="Z41" s="34"/>
      <c r="AA41" s="34"/>
      <c r="AB41" s="57"/>
    </row>
    <row r="42" spans="1:28" ht="96" customHeight="1">
      <c r="A42" s="237"/>
      <c r="B42" s="129"/>
      <c r="C42" s="133"/>
      <c r="D42" s="51"/>
      <c r="E42" s="51"/>
      <c r="F42" s="128"/>
      <c r="G42" s="128" t="s">
        <v>1103</v>
      </c>
      <c r="H42" s="34"/>
      <c r="I42" s="34"/>
      <c r="J42" s="108" t="s">
        <v>660</v>
      </c>
      <c r="K42" s="56" t="s">
        <v>661</v>
      </c>
      <c r="L42" s="56" t="s">
        <v>250</v>
      </c>
      <c r="M42" s="53">
        <v>1</v>
      </c>
      <c r="N42" s="113">
        <v>0.2</v>
      </c>
      <c r="O42" s="112">
        <v>0.2</v>
      </c>
      <c r="P42" s="53">
        <v>0.2</v>
      </c>
      <c r="Q42" s="53">
        <v>0.2</v>
      </c>
      <c r="R42" s="53">
        <v>0.2</v>
      </c>
      <c r="S42" s="56" t="s">
        <v>822</v>
      </c>
      <c r="T42" s="133"/>
      <c r="U42" s="136"/>
      <c r="V42" s="120" t="s">
        <v>1805</v>
      </c>
      <c r="W42" s="53">
        <v>1</v>
      </c>
      <c r="X42" s="34"/>
      <c r="Y42" s="133" t="s">
        <v>1702</v>
      </c>
      <c r="Z42" s="34"/>
      <c r="AA42" s="34"/>
      <c r="AB42" s="57"/>
    </row>
    <row r="43" spans="1:28" ht="204" hidden="1" customHeight="1">
      <c r="A43" s="237"/>
      <c r="B43" s="234" t="s">
        <v>1497</v>
      </c>
      <c r="C43" s="133" t="s">
        <v>1498</v>
      </c>
      <c r="D43" s="51">
        <v>40909</v>
      </c>
      <c r="E43" s="51">
        <v>41609</v>
      </c>
      <c r="F43" s="128" t="s">
        <v>1250</v>
      </c>
      <c r="G43" s="128" t="s">
        <v>1103</v>
      </c>
      <c r="H43" s="133" t="s">
        <v>1492</v>
      </c>
      <c r="I43" s="138"/>
      <c r="J43" s="108" t="s">
        <v>1493</v>
      </c>
      <c r="K43" s="133" t="s">
        <v>1501</v>
      </c>
      <c r="L43" s="133" t="s">
        <v>1282</v>
      </c>
      <c r="M43" s="53">
        <v>1</v>
      </c>
      <c r="N43" s="55"/>
      <c r="O43" s="53">
        <v>1</v>
      </c>
      <c r="P43" s="53"/>
      <c r="Q43" s="53"/>
      <c r="R43" s="53"/>
      <c r="S43" s="133" t="s">
        <v>821</v>
      </c>
      <c r="T43" s="163" t="s">
        <v>1664</v>
      </c>
      <c r="U43" s="163" t="s">
        <v>1678</v>
      </c>
      <c r="V43" s="155"/>
      <c r="W43" s="53"/>
      <c r="X43" s="34"/>
      <c r="Y43" s="34"/>
      <c r="Z43" s="34"/>
      <c r="AA43" s="34"/>
      <c r="AB43" s="57"/>
    </row>
    <row r="44" spans="1:28" ht="150" hidden="1" customHeight="1">
      <c r="A44" s="237"/>
      <c r="B44" s="269"/>
      <c r="C44" s="133" t="s">
        <v>1499</v>
      </c>
      <c r="D44" s="51">
        <v>40909</v>
      </c>
      <c r="E44" s="51">
        <v>44896</v>
      </c>
      <c r="F44" s="128" t="s">
        <v>1250</v>
      </c>
      <c r="G44" s="128" t="s">
        <v>1103</v>
      </c>
      <c r="H44" s="165"/>
      <c r="I44" s="138"/>
      <c r="J44" s="108" t="s">
        <v>1494</v>
      </c>
      <c r="K44" s="133" t="s">
        <v>1502</v>
      </c>
      <c r="L44" s="133" t="s">
        <v>1273</v>
      </c>
      <c r="M44" s="53">
        <v>1</v>
      </c>
      <c r="N44" s="55"/>
      <c r="O44" s="55"/>
      <c r="P44" s="53"/>
      <c r="Q44" s="53"/>
      <c r="R44" s="53">
        <v>1</v>
      </c>
      <c r="S44" s="133" t="s">
        <v>821</v>
      </c>
      <c r="T44" s="163" t="s">
        <v>1664</v>
      </c>
      <c r="U44" s="163" t="s">
        <v>1678</v>
      </c>
      <c r="V44" s="155"/>
      <c r="W44" s="53"/>
      <c r="X44" s="34"/>
      <c r="Y44" s="34"/>
      <c r="Z44" s="34"/>
      <c r="AA44" s="34"/>
      <c r="AB44" s="57"/>
    </row>
    <row r="45" spans="1:28" ht="165.75" hidden="1" customHeight="1">
      <c r="A45" s="237"/>
      <c r="B45" s="269"/>
      <c r="C45" s="133" t="s">
        <v>1500</v>
      </c>
      <c r="D45" s="51">
        <v>40909</v>
      </c>
      <c r="E45" s="51">
        <v>44896</v>
      </c>
      <c r="F45" s="128" t="s">
        <v>1250</v>
      </c>
      <c r="G45" s="128" t="s">
        <v>1103</v>
      </c>
      <c r="H45" s="165"/>
      <c r="I45" s="138"/>
      <c r="J45" s="108" t="s">
        <v>1495</v>
      </c>
      <c r="K45" s="133" t="s">
        <v>1503</v>
      </c>
      <c r="L45" s="133" t="s">
        <v>1276</v>
      </c>
      <c r="M45" s="53">
        <v>0.4</v>
      </c>
      <c r="N45" s="55"/>
      <c r="O45" s="55"/>
      <c r="P45" s="53">
        <v>1</v>
      </c>
      <c r="Q45" s="53"/>
      <c r="R45" s="53"/>
      <c r="S45" s="133" t="s">
        <v>821</v>
      </c>
      <c r="T45" s="163" t="s">
        <v>1664</v>
      </c>
      <c r="U45" s="163" t="s">
        <v>1678</v>
      </c>
      <c r="V45" s="155"/>
      <c r="W45" s="53"/>
      <c r="X45" s="34"/>
      <c r="Y45" s="34"/>
      <c r="Z45" s="34"/>
      <c r="AA45" s="34"/>
      <c r="AB45" s="57"/>
    </row>
    <row r="46" spans="1:28" ht="127.5" hidden="1" customHeight="1">
      <c r="A46" s="237"/>
      <c r="B46" s="269"/>
      <c r="C46" s="133" t="s">
        <v>1509</v>
      </c>
      <c r="D46" s="51">
        <v>40909</v>
      </c>
      <c r="E46" s="51">
        <v>44896</v>
      </c>
      <c r="F46" s="128" t="s">
        <v>1250</v>
      </c>
      <c r="G46" s="128" t="s">
        <v>1103</v>
      </c>
      <c r="H46" s="165"/>
      <c r="I46" s="138"/>
      <c r="J46" s="126"/>
      <c r="K46" s="133" t="s">
        <v>1504</v>
      </c>
      <c r="L46" s="133" t="s">
        <v>1284</v>
      </c>
      <c r="M46" s="53">
        <v>0.6</v>
      </c>
      <c r="N46" s="55"/>
      <c r="O46" s="55"/>
      <c r="P46" s="53">
        <v>7.0000000000000007E-2</v>
      </c>
      <c r="Q46" s="53">
        <v>0.46</v>
      </c>
      <c r="R46" s="53">
        <v>0.47</v>
      </c>
      <c r="S46" s="133" t="s">
        <v>821</v>
      </c>
      <c r="T46" s="163" t="s">
        <v>1664</v>
      </c>
      <c r="U46" s="163" t="s">
        <v>1678</v>
      </c>
      <c r="V46" s="155"/>
      <c r="W46" s="53"/>
      <c r="X46" s="34"/>
      <c r="Y46" s="34"/>
      <c r="Z46" s="34"/>
      <c r="AA46" s="34"/>
      <c r="AB46" s="57"/>
    </row>
    <row r="47" spans="1:28" ht="167.25" hidden="1" customHeight="1">
      <c r="A47" s="237"/>
      <c r="B47" s="270"/>
      <c r="C47" s="133" t="s">
        <v>1531</v>
      </c>
      <c r="D47" s="51">
        <v>40909</v>
      </c>
      <c r="E47" s="51">
        <v>44896</v>
      </c>
      <c r="F47" s="128" t="s">
        <v>1250</v>
      </c>
      <c r="G47" s="128" t="s">
        <v>1103</v>
      </c>
      <c r="H47" s="165"/>
      <c r="I47" s="138"/>
      <c r="J47" s="108" t="s">
        <v>1496</v>
      </c>
      <c r="K47" s="133" t="s">
        <v>1511</v>
      </c>
      <c r="L47" s="133" t="s">
        <v>1285</v>
      </c>
      <c r="M47" s="53">
        <v>0.4</v>
      </c>
      <c r="N47" s="55"/>
      <c r="O47" s="53">
        <v>1</v>
      </c>
      <c r="P47" s="53"/>
      <c r="Q47" s="53"/>
      <c r="R47" s="53"/>
      <c r="S47" s="133" t="s">
        <v>821</v>
      </c>
      <c r="T47" s="163" t="s">
        <v>1664</v>
      </c>
      <c r="U47" s="163" t="s">
        <v>1678</v>
      </c>
      <c r="V47" s="155"/>
      <c r="W47" s="53"/>
      <c r="X47" s="34"/>
      <c r="Y47" s="34"/>
      <c r="Z47" s="34"/>
      <c r="AA47" s="34"/>
      <c r="AB47" s="57"/>
    </row>
    <row r="48" spans="1:28" ht="137.25" hidden="1" customHeight="1">
      <c r="A48" s="237"/>
      <c r="B48" s="137"/>
      <c r="C48" s="138"/>
      <c r="D48" s="138"/>
      <c r="E48" s="138"/>
      <c r="F48" s="138"/>
      <c r="G48" s="128" t="s">
        <v>1103</v>
      </c>
      <c r="H48" s="165"/>
      <c r="I48" s="138"/>
      <c r="J48" s="126"/>
      <c r="K48" s="133" t="s">
        <v>1512</v>
      </c>
      <c r="L48" s="133" t="s">
        <v>1284</v>
      </c>
      <c r="M48" s="53">
        <v>0.6</v>
      </c>
      <c r="N48" s="55"/>
      <c r="O48" s="55"/>
      <c r="P48" s="53">
        <v>0.33</v>
      </c>
      <c r="Q48" s="53">
        <v>0.33</v>
      </c>
      <c r="R48" s="53">
        <v>0.34</v>
      </c>
      <c r="S48" s="133" t="s">
        <v>821</v>
      </c>
      <c r="T48" s="163" t="s">
        <v>1664</v>
      </c>
      <c r="U48" s="163" t="s">
        <v>1678</v>
      </c>
      <c r="V48" s="155"/>
      <c r="W48" s="53"/>
      <c r="X48" s="34"/>
      <c r="Y48" s="34"/>
      <c r="Z48" s="34"/>
      <c r="AA48" s="34"/>
      <c r="AB48" s="57"/>
    </row>
    <row r="49" spans="1:28" ht="192.75" customHeight="1">
      <c r="A49" s="237"/>
      <c r="B49" s="234" t="s">
        <v>1485</v>
      </c>
      <c r="C49" s="133" t="s">
        <v>1486</v>
      </c>
      <c r="D49" s="51">
        <v>40909</v>
      </c>
      <c r="E49" s="51">
        <v>44896</v>
      </c>
      <c r="F49" s="128" t="s">
        <v>1250</v>
      </c>
      <c r="G49" s="128" t="s">
        <v>1103</v>
      </c>
      <c r="H49" s="133" t="s">
        <v>650</v>
      </c>
      <c r="I49" s="133" t="s">
        <v>960</v>
      </c>
      <c r="J49" s="108" t="s">
        <v>651</v>
      </c>
      <c r="K49" s="133" t="s">
        <v>652</v>
      </c>
      <c r="L49" s="133" t="s">
        <v>463</v>
      </c>
      <c r="M49" s="53">
        <v>1</v>
      </c>
      <c r="N49" s="113">
        <v>0.2</v>
      </c>
      <c r="O49" s="112">
        <v>0.2</v>
      </c>
      <c r="P49" s="53">
        <v>0.2</v>
      </c>
      <c r="Q49" s="53">
        <v>0.2</v>
      </c>
      <c r="R49" s="53">
        <v>0.2</v>
      </c>
      <c r="S49" s="133" t="s">
        <v>810</v>
      </c>
      <c r="T49" s="163"/>
      <c r="U49" s="163"/>
      <c r="V49" s="155" t="s">
        <v>1025</v>
      </c>
      <c r="W49" s="53">
        <v>1</v>
      </c>
      <c r="X49" s="34"/>
      <c r="Y49" s="136" t="s">
        <v>1699</v>
      </c>
      <c r="Z49" s="34"/>
      <c r="AA49" s="34"/>
      <c r="AB49" s="57"/>
    </row>
    <row r="50" spans="1:28" ht="111.75" hidden="1" customHeight="1">
      <c r="A50" s="238"/>
      <c r="B50" s="270"/>
      <c r="C50" s="133" t="s">
        <v>1487</v>
      </c>
      <c r="D50" s="51">
        <v>40909</v>
      </c>
      <c r="E50" s="51">
        <v>44896</v>
      </c>
      <c r="F50" s="128"/>
      <c r="G50" s="128" t="s">
        <v>1103</v>
      </c>
      <c r="H50" s="133"/>
      <c r="I50" s="133"/>
      <c r="J50" s="108" t="s">
        <v>1274</v>
      </c>
      <c r="K50" s="133" t="s">
        <v>1275</v>
      </c>
      <c r="L50" s="133" t="s">
        <v>1273</v>
      </c>
      <c r="M50" s="53">
        <v>1</v>
      </c>
      <c r="N50" s="34"/>
      <c r="O50" s="53">
        <v>1</v>
      </c>
      <c r="P50" s="53"/>
      <c r="Q50" s="53"/>
      <c r="R50" s="53"/>
      <c r="S50" s="133" t="s">
        <v>810</v>
      </c>
      <c r="T50" s="158" t="s">
        <v>780</v>
      </c>
      <c r="U50" s="136" t="s">
        <v>733</v>
      </c>
      <c r="V50" s="157"/>
      <c r="W50" s="156"/>
      <c r="X50" s="157"/>
      <c r="Y50" s="157"/>
      <c r="Z50" s="34"/>
      <c r="AA50" s="34"/>
      <c r="AB50" s="57"/>
    </row>
    <row r="51" spans="1:28">
      <c r="V51" s="57"/>
      <c r="W51" s="57"/>
      <c r="X51" s="57"/>
      <c r="Y51" s="57"/>
      <c r="Z51" s="57"/>
      <c r="AA51" s="57"/>
      <c r="AB51" s="57"/>
    </row>
    <row r="52" spans="1:28">
      <c r="V52" s="57"/>
      <c r="W52" s="57"/>
      <c r="X52" s="57"/>
      <c r="Y52" s="57"/>
      <c r="Z52" s="57"/>
      <c r="AA52" s="57"/>
      <c r="AB52" s="57"/>
    </row>
    <row r="53" spans="1:28">
      <c r="V53" s="57"/>
      <c r="W53" s="57"/>
      <c r="X53" s="57"/>
      <c r="Y53" s="57"/>
      <c r="Z53" s="57"/>
      <c r="AA53" s="57"/>
      <c r="AB53" s="57"/>
    </row>
    <row r="54" spans="1:28">
      <c r="V54" s="57"/>
      <c r="W54" s="57"/>
      <c r="X54" s="57"/>
      <c r="Y54" s="57"/>
      <c r="Z54" s="57"/>
      <c r="AA54" s="57"/>
      <c r="AB54" s="57"/>
    </row>
    <row r="55" spans="1:28">
      <c r="V55" s="57"/>
      <c r="W55" s="57"/>
      <c r="X55" s="57"/>
      <c r="Y55" s="57"/>
      <c r="Z55" s="57"/>
      <c r="AA55" s="57"/>
      <c r="AB55" s="57"/>
    </row>
    <row r="56" spans="1:28">
      <c r="V56" s="57"/>
      <c r="W56" s="57"/>
      <c r="X56" s="57"/>
      <c r="Y56" s="57"/>
      <c r="Z56" s="57"/>
      <c r="AA56" s="57"/>
      <c r="AB56" s="57"/>
    </row>
    <row r="57" spans="1:28">
      <c r="V57" s="57"/>
      <c r="W57" s="57"/>
      <c r="X57" s="57"/>
      <c r="Y57" s="57"/>
      <c r="Z57" s="57"/>
      <c r="AA57" s="57"/>
      <c r="AB57" s="57"/>
    </row>
    <row r="58" spans="1:28">
      <c r="A58" s="57"/>
      <c r="B58" s="57"/>
      <c r="C58" s="57"/>
      <c r="D58" s="57"/>
      <c r="E58" s="57"/>
      <c r="F58" s="57"/>
      <c r="G58" s="57"/>
      <c r="H58" s="57"/>
      <c r="I58" s="57"/>
      <c r="J58" s="57"/>
      <c r="K58" s="57"/>
      <c r="L58" s="57"/>
      <c r="M58" s="57"/>
      <c r="N58" s="57"/>
      <c r="O58" s="57"/>
      <c r="P58" s="57"/>
      <c r="Q58" s="57"/>
      <c r="R58" s="57"/>
      <c r="S58" s="57"/>
      <c r="V58" s="57"/>
      <c r="W58" s="57"/>
      <c r="X58" s="57"/>
      <c r="Y58" s="57"/>
      <c r="Z58" s="57"/>
      <c r="AA58" s="57"/>
      <c r="AB58" s="57"/>
    </row>
    <row r="59" spans="1:28">
      <c r="A59" s="57"/>
      <c r="B59" s="57"/>
      <c r="C59" s="57"/>
      <c r="D59" s="57"/>
      <c r="E59" s="57"/>
      <c r="F59" s="57"/>
      <c r="G59" s="57"/>
      <c r="H59" s="57"/>
      <c r="I59" s="57"/>
      <c r="J59" s="57"/>
      <c r="K59" s="57"/>
      <c r="L59" s="57"/>
      <c r="M59" s="57"/>
      <c r="N59" s="57"/>
      <c r="O59" s="57"/>
      <c r="P59" s="57"/>
      <c r="Q59" s="57"/>
      <c r="R59" s="57"/>
      <c r="S59" s="57"/>
      <c r="V59" s="57"/>
      <c r="W59" s="57"/>
      <c r="X59" s="57"/>
      <c r="Y59" s="57"/>
      <c r="Z59" s="57"/>
      <c r="AA59" s="57"/>
      <c r="AB59" s="57"/>
    </row>
    <row r="60" spans="1:28">
      <c r="A60" s="57"/>
      <c r="B60" s="57"/>
      <c r="C60" s="57"/>
      <c r="D60" s="57"/>
      <c r="E60" s="57"/>
      <c r="F60" s="57"/>
      <c r="G60" s="57"/>
      <c r="H60" s="57"/>
      <c r="I60" s="57"/>
      <c r="J60" s="57"/>
      <c r="K60" s="57"/>
      <c r="L60" s="57"/>
      <c r="M60" s="57"/>
      <c r="N60" s="57"/>
      <c r="O60" s="57"/>
      <c r="P60" s="57"/>
      <c r="Q60" s="57"/>
      <c r="R60" s="57"/>
      <c r="S60" s="57"/>
      <c r="V60" s="57"/>
      <c r="W60" s="57"/>
      <c r="X60" s="57"/>
      <c r="Y60" s="57"/>
      <c r="Z60" s="57"/>
      <c r="AA60" s="57"/>
      <c r="AB60" s="57"/>
    </row>
    <row r="61" spans="1:28">
      <c r="A61" s="57"/>
      <c r="B61" s="57"/>
      <c r="C61" s="57"/>
      <c r="D61" s="57"/>
      <c r="E61" s="57"/>
      <c r="F61" s="57"/>
      <c r="G61" s="57"/>
      <c r="H61" s="57"/>
      <c r="I61" s="57"/>
      <c r="J61" s="57"/>
      <c r="K61" s="57"/>
      <c r="L61" s="57"/>
      <c r="M61" s="57"/>
      <c r="N61" s="57"/>
      <c r="O61" s="57"/>
      <c r="P61" s="57"/>
      <c r="Q61" s="57"/>
      <c r="R61" s="57"/>
      <c r="S61" s="57"/>
      <c r="V61" s="57"/>
      <c r="W61" s="57"/>
      <c r="X61" s="57"/>
      <c r="Y61" s="57"/>
      <c r="Z61" s="57"/>
      <c r="AA61" s="57"/>
      <c r="AB61" s="57"/>
    </row>
    <row r="62" spans="1:28">
      <c r="A62" s="57"/>
      <c r="B62" s="57"/>
      <c r="C62" s="57"/>
      <c r="D62" s="57"/>
      <c r="E62" s="57"/>
      <c r="F62" s="57"/>
      <c r="G62" s="57"/>
      <c r="H62" s="57"/>
      <c r="I62" s="57"/>
      <c r="J62" s="57"/>
      <c r="K62" s="57"/>
      <c r="L62" s="57"/>
      <c r="M62" s="57"/>
      <c r="N62" s="57"/>
      <c r="O62" s="57"/>
      <c r="P62" s="57"/>
      <c r="Q62" s="57"/>
      <c r="R62" s="57"/>
      <c r="S62" s="57"/>
      <c r="V62" s="57"/>
      <c r="W62" s="57"/>
      <c r="X62" s="57"/>
      <c r="Y62" s="57"/>
      <c r="Z62" s="57"/>
      <c r="AA62" s="57"/>
      <c r="AB62" s="57"/>
    </row>
    <row r="63" spans="1:28">
      <c r="A63" s="57"/>
      <c r="B63" s="57"/>
      <c r="C63" s="57"/>
      <c r="D63" s="57"/>
      <c r="E63" s="57"/>
      <c r="F63" s="57"/>
      <c r="G63" s="57"/>
      <c r="H63" s="57"/>
      <c r="I63" s="57"/>
      <c r="J63" s="57"/>
      <c r="K63" s="57"/>
      <c r="L63" s="57"/>
      <c r="M63" s="57"/>
      <c r="N63" s="57"/>
      <c r="O63" s="57"/>
      <c r="P63" s="57"/>
      <c r="Q63" s="57"/>
      <c r="R63" s="57"/>
      <c r="S63" s="57"/>
      <c r="V63" s="57"/>
      <c r="W63" s="57"/>
      <c r="X63" s="57"/>
      <c r="Y63" s="57"/>
      <c r="Z63" s="57"/>
      <c r="AA63" s="57"/>
      <c r="AB63" s="57"/>
    </row>
    <row r="64" spans="1:28">
      <c r="A64" s="57"/>
      <c r="B64" s="57"/>
      <c r="C64" s="57"/>
      <c r="D64" s="57"/>
      <c r="E64" s="57"/>
      <c r="F64" s="57"/>
      <c r="G64" s="57"/>
      <c r="H64" s="57"/>
      <c r="I64" s="57"/>
      <c r="J64" s="57"/>
      <c r="K64" s="57"/>
      <c r="L64" s="57"/>
      <c r="M64" s="57"/>
      <c r="N64" s="57"/>
      <c r="O64" s="57"/>
      <c r="P64" s="57"/>
      <c r="Q64" s="57"/>
      <c r="R64" s="57"/>
      <c r="S64" s="57"/>
      <c r="V64" s="57"/>
      <c r="W64" s="57"/>
      <c r="X64" s="57"/>
      <c r="Y64" s="57"/>
      <c r="Z64" s="57"/>
      <c r="AA64" s="57"/>
      <c r="AB64" s="57"/>
    </row>
    <row r="65" spans="1:28">
      <c r="A65" s="57"/>
      <c r="B65" s="57"/>
      <c r="C65" s="57"/>
      <c r="D65" s="57"/>
      <c r="E65" s="57"/>
      <c r="F65" s="57"/>
      <c r="G65" s="57"/>
      <c r="H65" s="57"/>
      <c r="I65" s="57"/>
      <c r="J65" s="57"/>
      <c r="K65" s="57"/>
      <c r="L65" s="57"/>
      <c r="M65" s="57"/>
      <c r="N65" s="57"/>
      <c r="O65" s="57"/>
      <c r="P65" s="57"/>
      <c r="Q65" s="57"/>
      <c r="R65" s="57"/>
      <c r="S65" s="57"/>
      <c r="V65" s="57"/>
      <c r="W65" s="57"/>
      <c r="X65" s="57"/>
      <c r="Y65" s="57"/>
      <c r="Z65" s="57"/>
      <c r="AA65" s="57"/>
      <c r="AB65" s="57"/>
    </row>
    <row r="66" spans="1:28">
      <c r="A66" s="57"/>
      <c r="B66" s="57"/>
      <c r="C66" s="57"/>
      <c r="D66" s="57"/>
      <c r="E66" s="57"/>
      <c r="F66" s="57"/>
      <c r="G66" s="57"/>
      <c r="H66" s="57"/>
      <c r="I66" s="57"/>
      <c r="J66" s="57"/>
      <c r="K66" s="57"/>
      <c r="L66" s="57"/>
      <c r="M66" s="57"/>
      <c r="N66" s="57"/>
      <c r="O66" s="57"/>
      <c r="P66" s="57"/>
      <c r="Q66" s="57"/>
      <c r="R66" s="57"/>
      <c r="S66" s="57"/>
      <c r="V66" s="57"/>
      <c r="W66" s="57"/>
      <c r="X66" s="57"/>
      <c r="Y66" s="57"/>
      <c r="Z66" s="57"/>
      <c r="AA66" s="57"/>
      <c r="AB66" s="57"/>
    </row>
    <row r="67" spans="1:28">
      <c r="A67" s="57"/>
      <c r="B67" s="57"/>
      <c r="C67" s="57"/>
      <c r="D67" s="57"/>
      <c r="E67" s="57"/>
      <c r="F67" s="57"/>
      <c r="G67" s="57"/>
      <c r="H67" s="57"/>
      <c r="I67" s="57"/>
      <c r="J67" s="57"/>
      <c r="K67" s="57"/>
      <c r="L67" s="57"/>
      <c r="M67" s="57"/>
      <c r="N67" s="57"/>
      <c r="O67" s="57"/>
      <c r="P67" s="57"/>
      <c r="Q67" s="57"/>
      <c r="R67" s="57"/>
      <c r="S67" s="57"/>
      <c r="V67" s="57"/>
      <c r="W67" s="57"/>
      <c r="X67" s="57"/>
      <c r="Y67" s="57"/>
      <c r="Z67" s="57"/>
      <c r="AA67" s="57"/>
      <c r="AB67" s="57"/>
    </row>
    <row r="68" spans="1:28">
      <c r="V68" s="57"/>
      <c r="W68" s="57"/>
      <c r="X68" s="57"/>
      <c r="Y68" s="57"/>
      <c r="Z68" s="57"/>
      <c r="AA68" s="57"/>
      <c r="AB68" s="57"/>
    </row>
    <row r="69" spans="1:28">
      <c r="V69" s="57"/>
      <c r="W69" s="57"/>
      <c r="X69" s="57"/>
      <c r="Y69" s="57"/>
      <c r="Z69" s="57"/>
      <c r="AA69" s="57"/>
      <c r="AB69" s="57"/>
    </row>
    <row r="70" spans="1:28">
      <c r="V70" s="57"/>
      <c r="W70" s="57"/>
      <c r="X70" s="57"/>
      <c r="Y70" s="57"/>
      <c r="Z70" s="57"/>
      <c r="AA70" s="57"/>
      <c r="AB70" s="57"/>
    </row>
    <row r="71" spans="1:28">
      <c r="V71" s="57"/>
      <c r="W71" s="57"/>
      <c r="X71" s="57"/>
      <c r="Y71" s="57"/>
      <c r="Z71" s="57"/>
      <c r="AA71" s="57"/>
      <c r="AB71" s="57"/>
    </row>
    <row r="72" spans="1:28">
      <c r="V72" s="57"/>
      <c r="W72" s="57"/>
      <c r="X72" s="57"/>
      <c r="Y72" s="57"/>
      <c r="Z72" s="57"/>
      <c r="AA72" s="57"/>
      <c r="AB72" s="57"/>
    </row>
    <row r="73" spans="1:28">
      <c r="V73" s="57"/>
      <c r="W73" s="57"/>
      <c r="X73" s="57"/>
      <c r="Y73" s="57"/>
      <c r="Z73" s="57"/>
      <c r="AA73" s="57"/>
      <c r="AB73" s="57"/>
    </row>
    <row r="74" spans="1:28">
      <c r="V74" s="57"/>
      <c r="W74" s="57"/>
      <c r="X74" s="57"/>
      <c r="Y74" s="57"/>
      <c r="Z74" s="57"/>
      <c r="AA74" s="57"/>
      <c r="AB74" s="57"/>
    </row>
    <row r="75" spans="1:28">
      <c r="V75" s="57"/>
      <c r="W75" s="57"/>
      <c r="X75" s="57"/>
      <c r="Y75" s="57"/>
      <c r="Z75" s="57"/>
      <c r="AA75" s="57"/>
      <c r="AB75" s="57"/>
    </row>
    <row r="76" spans="1:28">
      <c r="V76" s="57"/>
      <c r="W76" s="57"/>
      <c r="X76" s="57"/>
      <c r="Y76" s="57"/>
      <c r="Z76" s="57"/>
      <c r="AA76" s="57"/>
      <c r="AB76" s="57"/>
    </row>
    <row r="77" spans="1:28">
      <c r="V77" s="57"/>
      <c r="W77" s="57"/>
      <c r="X77" s="57"/>
      <c r="Y77" s="57"/>
      <c r="Z77" s="57"/>
      <c r="AA77" s="57"/>
      <c r="AB77" s="57"/>
    </row>
    <row r="78" spans="1:28">
      <c r="V78" s="57"/>
      <c r="W78" s="57"/>
      <c r="X78" s="57"/>
      <c r="Y78" s="57"/>
      <c r="Z78" s="57"/>
      <c r="AA78" s="57"/>
      <c r="AB78" s="57"/>
    </row>
    <row r="79" spans="1:28">
      <c r="V79" s="57"/>
      <c r="W79" s="57"/>
      <c r="X79" s="57"/>
      <c r="Y79" s="57"/>
      <c r="Z79" s="57"/>
      <c r="AA79" s="57"/>
      <c r="AB79" s="57"/>
    </row>
    <row r="80" spans="1:28">
      <c r="V80" s="57"/>
      <c r="W80" s="57"/>
      <c r="X80" s="57"/>
      <c r="Y80" s="57"/>
      <c r="Z80" s="57"/>
      <c r="AA80" s="57"/>
      <c r="AB80" s="57"/>
    </row>
    <row r="81" spans="22:28">
      <c r="V81" s="57"/>
      <c r="W81" s="57"/>
      <c r="X81" s="57"/>
      <c r="Y81" s="57"/>
      <c r="Z81" s="57"/>
      <c r="AA81" s="57"/>
      <c r="AB81" s="57"/>
    </row>
    <row r="82" spans="22:28">
      <c r="V82" s="57"/>
      <c r="W82" s="57"/>
      <c r="X82" s="57"/>
      <c r="Y82" s="57"/>
      <c r="Z82" s="57"/>
      <c r="AA82" s="57"/>
      <c r="AB82" s="57"/>
    </row>
    <row r="83" spans="22:28">
      <c r="V83" s="57"/>
      <c r="W83" s="57"/>
      <c r="X83" s="57"/>
      <c r="Y83" s="57"/>
      <c r="Z83" s="57"/>
      <c r="AA83" s="57"/>
      <c r="AB83" s="57"/>
    </row>
    <row r="84" spans="22:28">
      <c r="V84" s="57"/>
      <c r="W84" s="57"/>
      <c r="X84" s="57"/>
      <c r="Y84" s="57"/>
      <c r="Z84" s="57"/>
      <c r="AA84" s="57"/>
      <c r="AB84" s="57"/>
    </row>
    <row r="85" spans="22:28">
      <c r="V85" s="57"/>
      <c r="W85" s="57"/>
      <c r="X85" s="57"/>
      <c r="Y85" s="57"/>
      <c r="Z85" s="57"/>
      <c r="AA85" s="57"/>
      <c r="AB85" s="57"/>
    </row>
    <row r="86" spans="22:28">
      <c r="V86" s="57"/>
      <c r="W86" s="57"/>
      <c r="X86" s="57"/>
      <c r="Y86" s="57"/>
      <c r="Z86" s="57"/>
      <c r="AA86" s="57"/>
      <c r="AB86" s="57"/>
    </row>
    <row r="87" spans="22:28">
      <c r="V87" s="57"/>
      <c r="W87" s="57"/>
      <c r="X87" s="57"/>
      <c r="Y87" s="57"/>
      <c r="Z87" s="57"/>
      <c r="AA87" s="57"/>
      <c r="AB87" s="57"/>
    </row>
    <row r="88" spans="22:28">
      <c r="V88" s="57"/>
      <c r="W88" s="57"/>
      <c r="X88" s="57"/>
      <c r="Y88" s="57"/>
      <c r="Z88" s="57"/>
      <c r="AA88" s="57"/>
      <c r="AB88" s="57"/>
    </row>
    <row r="89" spans="22:28">
      <c r="V89" s="57"/>
      <c r="W89" s="57"/>
      <c r="X89" s="57"/>
      <c r="Y89" s="57"/>
      <c r="Z89" s="57"/>
      <c r="AA89" s="57"/>
      <c r="AB89" s="57"/>
    </row>
    <row r="90" spans="22:28">
      <c r="V90" s="57"/>
      <c r="W90" s="57"/>
      <c r="X90" s="57"/>
      <c r="Y90" s="57"/>
      <c r="Z90" s="57"/>
      <c r="AA90" s="57"/>
      <c r="AB90" s="57"/>
    </row>
    <row r="91" spans="22:28">
      <c r="V91" s="57"/>
      <c r="W91" s="57"/>
      <c r="X91" s="57"/>
      <c r="Y91" s="57"/>
      <c r="Z91" s="57"/>
      <c r="AA91" s="57"/>
      <c r="AB91" s="57"/>
    </row>
  </sheetData>
  <protectedRanges>
    <protectedRange sqref="V11" name="Rango1_4"/>
    <protectedRange sqref="Y31" name="Rango1_4_1_3"/>
    <protectedRange sqref="Y32" name="Rango1_4_2_3"/>
    <protectedRange sqref="Y35" name="Rango1_4_3_3"/>
    <protectedRange sqref="Y40" name="Rango1_4_4_3"/>
  </protectedRanges>
  <autoFilter ref="S2:S54"/>
  <mergeCells count="47">
    <mergeCell ref="T33:T35"/>
    <mergeCell ref="G36:G41"/>
    <mergeCell ref="A22:A29"/>
    <mergeCell ref="B22:B29"/>
    <mergeCell ref="F31:F35"/>
    <mergeCell ref="A11:A19"/>
    <mergeCell ref="A31:A50"/>
    <mergeCell ref="B36:B39"/>
    <mergeCell ref="B43:B47"/>
    <mergeCell ref="B49:B50"/>
    <mergeCell ref="B31:B35"/>
    <mergeCell ref="C31:C35"/>
    <mergeCell ref="D31:D35"/>
    <mergeCell ref="E31:E35"/>
    <mergeCell ref="G31:G35"/>
    <mergeCell ref="A8:F8"/>
    <mergeCell ref="A9:A10"/>
    <mergeCell ref="G9:G10"/>
    <mergeCell ref="C9:C10"/>
    <mergeCell ref="D9:E9"/>
    <mergeCell ref="B9:B10"/>
    <mergeCell ref="F9:F10"/>
    <mergeCell ref="G8:U8"/>
    <mergeCell ref="U9:U10"/>
    <mergeCell ref="S9:S10"/>
    <mergeCell ref="T9:T10"/>
    <mergeCell ref="M9:M10"/>
    <mergeCell ref="H9:H10"/>
    <mergeCell ref="I9:I10"/>
    <mergeCell ref="J9:J10"/>
    <mergeCell ref="K9:K10"/>
    <mergeCell ref="H31:H35"/>
    <mergeCell ref="I31:I35"/>
    <mergeCell ref="V7:X7"/>
    <mergeCell ref="Y7:AA7"/>
    <mergeCell ref="AA9:AA10"/>
    <mergeCell ref="V8:X8"/>
    <mergeCell ref="Y8:AA8"/>
    <mergeCell ref="V9:V10"/>
    <mergeCell ref="W9:W10"/>
    <mergeCell ref="X9:X10"/>
    <mergeCell ref="L9:L10"/>
    <mergeCell ref="J33:J35"/>
    <mergeCell ref="U14:U15"/>
    <mergeCell ref="U31:U32"/>
    <mergeCell ref="S33:S35"/>
    <mergeCell ref="U33:U35"/>
  </mergeCells>
  <phoneticPr fontId="7" type="noConversion"/>
  <printOptions horizontalCentered="1" verticalCentered="1"/>
  <pageMargins left="0.23622047244094491" right="0.19685039370078741" top="0.24" bottom="0.28000000000000003" header="0.24" footer="0.24"/>
  <pageSetup scale="50" orientation="landscape" r:id="rId1"/>
  <legacyDrawing r:id="rId2"/>
</worksheet>
</file>

<file path=xl/worksheets/sheet10.xml><?xml version="1.0" encoding="utf-8"?>
<worksheet xmlns="http://schemas.openxmlformats.org/spreadsheetml/2006/main" xmlns:r="http://schemas.openxmlformats.org/officeDocument/2006/relationships">
  <dimension ref="A1:P413"/>
  <sheetViews>
    <sheetView workbookViewId="0">
      <selection activeCell="A30" sqref="A30:K30"/>
    </sheetView>
  </sheetViews>
  <sheetFormatPr baseColWidth="10" defaultRowHeight="15"/>
  <cols>
    <col min="1" max="1" width="6.28515625" style="31" customWidth="1"/>
    <col min="2" max="2" width="47.42578125" style="31" customWidth="1"/>
    <col min="3" max="3" width="11.42578125" style="31"/>
    <col min="4" max="4" width="10.140625" style="31" customWidth="1"/>
    <col min="5" max="5" width="10.85546875" style="31" customWidth="1"/>
    <col min="6" max="6" width="14" style="31" customWidth="1"/>
    <col min="7" max="7" width="8.28515625" style="31" hidden="1" customWidth="1"/>
    <col min="8" max="8" width="9.28515625" style="31" hidden="1" customWidth="1"/>
    <col min="9" max="9" width="8.28515625" style="31" hidden="1" customWidth="1"/>
    <col min="10" max="10" width="7.85546875" style="31" hidden="1" customWidth="1"/>
    <col min="11" max="11" width="13.5703125" style="31" hidden="1" customWidth="1"/>
    <col min="12" max="16384" width="11.42578125" style="31"/>
  </cols>
  <sheetData>
    <row r="1" spans="1:11" ht="18.75">
      <c r="A1" s="355" t="s">
        <v>706</v>
      </c>
      <c r="B1" s="355"/>
      <c r="C1" s="355"/>
      <c r="D1" s="355"/>
      <c r="E1" s="355"/>
      <c r="F1" s="355"/>
      <c r="G1" s="355"/>
      <c r="H1" s="355"/>
      <c r="I1" s="355"/>
      <c r="J1" s="355"/>
      <c r="K1" s="355"/>
    </row>
    <row r="2" spans="1:11" ht="18.75">
      <c r="A2" s="355" t="s">
        <v>710</v>
      </c>
      <c r="B2" s="355"/>
      <c r="C2" s="355"/>
      <c r="D2" s="355"/>
      <c r="E2" s="355"/>
      <c r="F2" s="355"/>
      <c r="G2" s="355"/>
      <c r="H2" s="355"/>
      <c r="I2" s="355"/>
      <c r="J2" s="355"/>
      <c r="K2" s="355"/>
    </row>
    <row r="3" spans="1:11" ht="18.75">
      <c r="A3" s="355" t="s">
        <v>522</v>
      </c>
      <c r="B3" s="355"/>
      <c r="C3" s="355"/>
      <c r="D3" s="355"/>
      <c r="E3" s="355"/>
      <c r="F3" s="355"/>
      <c r="G3" s="355"/>
      <c r="H3" s="355"/>
      <c r="I3" s="355"/>
      <c r="J3" s="355"/>
      <c r="K3" s="355"/>
    </row>
    <row r="4" spans="1:11" ht="18.75">
      <c r="A4" s="355" t="s">
        <v>1857</v>
      </c>
      <c r="B4" s="355"/>
      <c r="C4" s="355"/>
      <c r="D4" s="355"/>
      <c r="E4" s="355"/>
      <c r="F4" s="355"/>
      <c r="G4" s="355"/>
      <c r="H4" s="355"/>
      <c r="I4" s="355"/>
      <c r="J4" s="355"/>
      <c r="K4" s="355"/>
    </row>
    <row r="6" spans="1:11">
      <c r="A6" s="366" t="s">
        <v>523</v>
      </c>
      <c r="B6" s="367"/>
      <c r="C6" s="369" t="s">
        <v>712</v>
      </c>
      <c r="D6" s="371" t="s">
        <v>524</v>
      </c>
      <c r="E6" s="372"/>
      <c r="F6" s="372"/>
      <c r="G6" s="372"/>
      <c r="H6" s="372"/>
      <c r="I6" s="372"/>
      <c r="J6" s="372"/>
      <c r="K6" s="373"/>
    </row>
    <row r="7" spans="1:11">
      <c r="A7" s="363"/>
      <c r="B7" s="368"/>
      <c r="C7" s="370" t="s">
        <v>712</v>
      </c>
      <c r="D7" s="205">
        <v>2012</v>
      </c>
      <c r="E7" s="205" t="s">
        <v>1800</v>
      </c>
      <c r="F7" s="205" t="s">
        <v>1801</v>
      </c>
      <c r="G7" s="205">
        <v>2013</v>
      </c>
      <c r="H7" s="205">
        <v>2014</v>
      </c>
      <c r="I7" s="205">
        <v>2015</v>
      </c>
      <c r="J7" s="205">
        <v>2016</v>
      </c>
      <c r="K7" s="205" t="s">
        <v>713</v>
      </c>
    </row>
    <row r="8" spans="1:11">
      <c r="A8" s="358" t="s">
        <v>556</v>
      </c>
      <c r="B8" s="359"/>
      <c r="C8" s="362">
        <v>0.1</v>
      </c>
      <c r="D8" s="364">
        <f>+D236</f>
        <v>0.24100000000000005</v>
      </c>
      <c r="E8" s="364">
        <f>+E236</f>
        <v>0.21600000000000005</v>
      </c>
      <c r="F8" s="364">
        <f>+E8/D8</f>
        <v>0.89626556016597514</v>
      </c>
      <c r="G8" s="364">
        <f>+G236</f>
        <v>0.22100000000000003</v>
      </c>
      <c r="H8" s="364">
        <f>+H236</f>
        <v>0.1958</v>
      </c>
      <c r="I8" s="364">
        <f>+I236</f>
        <v>0.14580000000000004</v>
      </c>
      <c r="J8" s="364">
        <f>+J236</f>
        <v>0.19610000000000005</v>
      </c>
      <c r="K8" s="356">
        <f>SUM(D8:J9)</f>
        <v>2.1119655601659755</v>
      </c>
    </row>
    <row r="9" spans="1:11">
      <c r="A9" s="360"/>
      <c r="B9" s="361"/>
      <c r="C9" s="363"/>
      <c r="D9" s="365"/>
      <c r="E9" s="365"/>
      <c r="F9" s="365"/>
      <c r="G9" s="365"/>
      <c r="H9" s="365"/>
      <c r="I9" s="365"/>
      <c r="J9" s="365"/>
      <c r="K9" s="357"/>
    </row>
    <row r="10" spans="1:11">
      <c r="A10" s="358" t="s">
        <v>557</v>
      </c>
      <c r="B10" s="359"/>
      <c r="C10" s="362">
        <v>0.1</v>
      </c>
      <c r="D10" s="364">
        <f>+D282</f>
        <v>0.3575000000000001</v>
      </c>
      <c r="E10" s="364">
        <f>+E282</f>
        <v>0.28073750000000003</v>
      </c>
      <c r="F10" s="364">
        <f t="shared" ref="F10" si="0">+E10/D10</f>
        <v>0.78527972027972015</v>
      </c>
      <c r="G10" s="364">
        <f>+G282</f>
        <v>0.27125000000000005</v>
      </c>
      <c r="H10" s="364">
        <f>+H282</f>
        <v>0.13040000000000004</v>
      </c>
      <c r="I10" s="364">
        <f>+I282</f>
        <v>0.12290000000000001</v>
      </c>
      <c r="J10" s="364">
        <f>+J282</f>
        <v>0.1179</v>
      </c>
      <c r="K10" s="356">
        <f>SUM(D10:J11)</f>
        <v>2.0659672202797204</v>
      </c>
    </row>
    <row r="11" spans="1:11">
      <c r="A11" s="360"/>
      <c r="B11" s="361"/>
      <c r="C11" s="363"/>
      <c r="D11" s="365"/>
      <c r="E11" s="365"/>
      <c r="F11" s="365"/>
      <c r="G11" s="365"/>
      <c r="H11" s="365"/>
      <c r="I11" s="365"/>
      <c r="J11" s="365"/>
      <c r="K11" s="357"/>
    </row>
    <row r="12" spans="1:11">
      <c r="A12" s="358" t="s">
        <v>554</v>
      </c>
      <c r="B12" s="359"/>
      <c r="C12" s="362">
        <v>0.15</v>
      </c>
      <c r="D12" s="364">
        <f>+D181</f>
        <v>0.16500000000000001</v>
      </c>
      <c r="E12" s="364">
        <f>+E181</f>
        <v>0.15500000000000003</v>
      </c>
      <c r="F12" s="364">
        <f t="shared" ref="F12" si="1">+E12/D12</f>
        <v>0.93939393939393956</v>
      </c>
      <c r="G12" s="364">
        <f>+G181</f>
        <v>0.31500000000000006</v>
      </c>
      <c r="H12" s="364">
        <f>+H181</f>
        <v>0.26980000000000004</v>
      </c>
      <c r="I12" s="364">
        <f>+I181</f>
        <v>0.12480000000000001</v>
      </c>
      <c r="J12" s="364">
        <f>+J181</f>
        <v>0.12480000000000001</v>
      </c>
      <c r="K12" s="356">
        <f>SUM(D12:J13)</f>
        <v>2.0937939393939398</v>
      </c>
    </row>
    <row r="13" spans="1:11">
      <c r="A13" s="360"/>
      <c r="B13" s="361"/>
      <c r="C13" s="363"/>
      <c r="D13" s="365"/>
      <c r="E13" s="365"/>
      <c r="F13" s="365"/>
      <c r="G13" s="365"/>
      <c r="H13" s="365"/>
      <c r="I13" s="365"/>
      <c r="J13" s="365"/>
      <c r="K13" s="357"/>
    </row>
    <row r="14" spans="1:11" ht="15" hidden="1" customHeight="1">
      <c r="A14" s="374" t="s">
        <v>558</v>
      </c>
      <c r="B14" s="375"/>
      <c r="C14" s="362"/>
      <c r="D14" s="364"/>
      <c r="E14" s="364"/>
      <c r="F14" s="364" t="e">
        <f t="shared" ref="F14" si="2">+E14/D14</f>
        <v>#DIV/0!</v>
      </c>
      <c r="G14" s="364"/>
      <c r="H14" s="364"/>
      <c r="I14" s="364"/>
      <c r="J14" s="364"/>
      <c r="K14" s="356" t="e">
        <f>SUM(D14:J15)</f>
        <v>#DIV/0!</v>
      </c>
    </row>
    <row r="15" spans="1:11" ht="15" hidden="1" customHeight="1">
      <c r="A15" s="376"/>
      <c r="B15" s="377"/>
      <c r="C15" s="363"/>
      <c r="D15" s="365"/>
      <c r="E15" s="365"/>
      <c r="F15" s="365"/>
      <c r="G15" s="365"/>
      <c r="H15" s="365"/>
      <c r="I15" s="365"/>
      <c r="J15" s="365"/>
      <c r="K15" s="357"/>
    </row>
    <row r="16" spans="1:11">
      <c r="A16" s="358" t="s">
        <v>555</v>
      </c>
      <c r="B16" s="359"/>
      <c r="C16" s="362">
        <v>0.15</v>
      </c>
      <c r="D16" s="364">
        <f>+D210</f>
        <v>0.22500000000000001</v>
      </c>
      <c r="E16" s="364">
        <f>+E210</f>
        <v>0.15000000000000002</v>
      </c>
      <c r="F16" s="364">
        <f t="shared" ref="F16" si="3">+E16/D16</f>
        <v>0.66666666666666674</v>
      </c>
      <c r="G16" s="364">
        <f>+G210</f>
        <v>0.16250000000000001</v>
      </c>
      <c r="H16" s="364">
        <f>+H210</f>
        <v>0.16250000000000001</v>
      </c>
      <c r="I16" s="364">
        <f>+I210</f>
        <v>0.22500000000000001</v>
      </c>
      <c r="J16" s="364">
        <f>+J210</f>
        <v>0.22500000000000001</v>
      </c>
      <c r="K16" s="356">
        <f>SUM(D16:J17)</f>
        <v>1.8166666666666671</v>
      </c>
    </row>
    <row r="17" spans="1:11">
      <c r="A17" s="360"/>
      <c r="B17" s="361"/>
      <c r="C17" s="363"/>
      <c r="D17" s="365"/>
      <c r="E17" s="365"/>
      <c r="F17" s="365"/>
      <c r="G17" s="365"/>
      <c r="H17" s="365"/>
      <c r="I17" s="365"/>
      <c r="J17" s="365"/>
      <c r="K17" s="357"/>
    </row>
    <row r="18" spans="1:11">
      <c r="A18" s="378" t="s">
        <v>552</v>
      </c>
      <c r="B18" s="379"/>
      <c r="C18" s="362">
        <v>0.17</v>
      </c>
      <c r="D18" s="364">
        <f>+D63</f>
        <v>0.20300000000000001</v>
      </c>
      <c r="E18" s="364">
        <f>+E63</f>
        <v>0.14675000000000005</v>
      </c>
      <c r="F18" s="364">
        <f t="shared" ref="F18" si="4">+E18/D18</f>
        <v>0.7229064039408869</v>
      </c>
      <c r="G18" s="364">
        <f>+G63</f>
        <v>0.31800000000000012</v>
      </c>
      <c r="H18" s="364">
        <f>+H63</f>
        <v>0.16840000000000002</v>
      </c>
      <c r="I18" s="364">
        <f>+I63</f>
        <v>0.14440000000000003</v>
      </c>
      <c r="J18" s="364">
        <f>+J63</f>
        <v>0.16589999999999999</v>
      </c>
      <c r="K18" s="356">
        <f>SUM(D18:J19)</f>
        <v>1.8693564039408872</v>
      </c>
    </row>
    <row r="19" spans="1:11">
      <c r="A19" s="380"/>
      <c r="B19" s="381"/>
      <c r="C19" s="363"/>
      <c r="D19" s="365"/>
      <c r="E19" s="365"/>
      <c r="F19" s="365"/>
      <c r="G19" s="365"/>
      <c r="H19" s="365"/>
      <c r="I19" s="365"/>
      <c r="J19" s="365"/>
      <c r="K19" s="357"/>
    </row>
    <row r="20" spans="1:11">
      <c r="A20" s="374" t="s">
        <v>560</v>
      </c>
      <c r="B20" s="375"/>
      <c r="C20" s="362">
        <v>0.17</v>
      </c>
      <c r="D20" s="364">
        <f>+D91</f>
        <v>0.2955000000000001</v>
      </c>
      <c r="E20" s="364">
        <f>+E91</f>
        <v>0.25740000000000007</v>
      </c>
      <c r="F20" s="364">
        <f t="shared" ref="F20" si="5">+E20/D20</f>
        <v>0.87106598984771566</v>
      </c>
      <c r="G20" s="364">
        <f>+G91</f>
        <v>0.19675000000000009</v>
      </c>
      <c r="H20" s="364">
        <f>+H91</f>
        <v>0.19675000000000006</v>
      </c>
      <c r="I20" s="364">
        <f>+I91</f>
        <v>0.16175000000000006</v>
      </c>
      <c r="J20" s="364">
        <f>+J91</f>
        <v>0.14925000000000005</v>
      </c>
      <c r="K20" s="356">
        <f>SUM(D20:J21)</f>
        <v>2.1284659898477161</v>
      </c>
    </row>
    <row r="21" spans="1:11">
      <c r="A21" s="376"/>
      <c r="B21" s="377"/>
      <c r="C21" s="363"/>
      <c r="D21" s="365"/>
      <c r="E21" s="365"/>
      <c r="F21" s="365"/>
      <c r="G21" s="365"/>
      <c r="H21" s="365"/>
      <c r="I21" s="365"/>
      <c r="J21" s="365"/>
      <c r="K21" s="357"/>
    </row>
    <row r="22" spans="1:11">
      <c r="A22" s="378" t="s">
        <v>553</v>
      </c>
      <c r="B22" s="379"/>
      <c r="C22" s="362">
        <v>0.16</v>
      </c>
      <c r="D22" s="364">
        <f>+D139</f>
        <v>0.30630000000000007</v>
      </c>
      <c r="E22" s="364">
        <f>+E139</f>
        <v>0.27394400000000008</v>
      </c>
      <c r="F22" s="364">
        <f>+E22/D22</f>
        <v>0.89436500163238664</v>
      </c>
      <c r="G22" s="364">
        <f>+G139</f>
        <v>0.25812500000000005</v>
      </c>
      <c r="H22" s="364">
        <f>+H139</f>
        <v>0.19392500000000007</v>
      </c>
      <c r="I22" s="364">
        <f>+I139</f>
        <v>0.10882500000000002</v>
      </c>
      <c r="J22" s="364">
        <f>+J139</f>
        <v>0.13282500000000005</v>
      </c>
      <c r="K22" s="356">
        <f>SUM(D22:J23)</f>
        <v>2.1683090016323869</v>
      </c>
    </row>
    <row r="23" spans="1:11">
      <c r="A23" s="380"/>
      <c r="B23" s="381"/>
      <c r="C23" s="363"/>
      <c r="D23" s="365"/>
      <c r="E23" s="365"/>
      <c r="F23" s="365"/>
      <c r="G23" s="365"/>
      <c r="H23" s="365"/>
      <c r="I23" s="365"/>
      <c r="J23" s="365"/>
      <c r="K23" s="357"/>
    </row>
    <row r="24" spans="1:11" hidden="1">
      <c r="A24" s="358" t="s">
        <v>713</v>
      </c>
      <c r="B24" s="386"/>
      <c r="C24" s="387"/>
      <c r="D24" s="364"/>
      <c r="E24" s="389"/>
      <c r="F24" s="389"/>
      <c r="G24" s="389"/>
      <c r="H24" s="389"/>
      <c r="I24" s="389"/>
      <c r="J24" s="389"/>
      <c r="K24" s="390"/>
    </row>
    <row r="25" spans="1:11" hidden="1">
      <c r="A25" s="360"/>
      <c r="B25" s="361"/>
      <c r="C25" s="388"/>
      <c r="D25" s="391"/>
      <c r="E25" s="392"/>
      <c r="F25" s="392"/>
      <c r="G25" s="392"/>
      <c r="H25" s="392"/>
      <c r="I25" s="392"/>
      <c r="J25" s="392"/>
      <c r="K25" s="393"/>
    </row>
    <row r="26" spans="1:11">
      <c r="A26" s="371" t="s">
        <v>525</v>
      </c>
      <c r="B26" s="373"/>
      <c r="C26" s="206">
        <f>SUM(C8:C23)</f>
        <v>1</v>
      </c>
      <c r="D26" s="207">
        <f t="shared" ref="D26:J26" si="6">+D8*$C$8+D10*$C$10+D12*$C$12+D14*$C$14+D16*$C$16+D18*$C$18+D20*$C$20+D22*$C$22</f>
        <v>0.25210300000000008</v>
      </c>
      <c r="E26" s="207">
        <f t="shared" si="6"/>
        <v>0.20796029000000008</v>
      </c>
      <c r="F26" s="207">
        <f>+E26/D26</f>
        <v>0.8249020836721499</v>
      </c>
      <c r="G26" s="207">
        <f t="shared" si="6"/>
        <v>0.24965750000000006</v>
      </c>
      <c r="H26" s="207">
        <f t="shared" si="6"/>
        <v>0.19056850000000006</v>
      </c>
      <c r="I26" s="207">
        <f t="shared" si="6"/>
        <v>0.14879750000000003</v>
      </c>
      <c r="J26" s="207">
        <f t="shared" si="6"/>
        <v>0.15869750000000005</v>
      </c>
      <c r="K26" s="207">
        <f>SUM(D26:J26)</f>
        <v>2.0326863736721505</v>
      </c>
    </row>
    <row r="27" spans="1:11">
      <c r="F27" s="208"/>
    </row>
    <row r="29" spans="1:11" ht="18.75">
      <c r="A29" s="355" t="s">
        <v>706</v>
      </c>
      <c r="B29" s="355"/>
      <c r="C29" s="355"/>
      <c r="D29" s="355"/>
      <c r="E29" s="355"/>
      <c r="F29" s="355"/>
      <c r="G29" s="355"/>
      <c r="H29" s="355"/>
      <c r="I29" s="355"/>
      <c r="J29" s="355"/>
      <c r="K29" s="355"/>
    </row>
    <row r="30" spans="1:11" ht="18.75">
      <c r="A30" s="355" t="s">
        <v>710</v>
      </c>
      <c r="B30" s="355"/>
      <c r="C30" s="355"/>
      <c r="D30" s="355"/>
      <c r="E30" s="355"/>
      <c r="F30" s="355"/>
      <c r="G30" s="355"/>
      <c r="H30" s="355"/>
      <c r="I30" s="355"/>
      <c r="J30" s="355"/>
      <c r="K30" s="355"/>
    </row>
    <row r="31" spans="1:11" ht="18.75">
      <c r="A31" s="355" t="s">
        <v>522</v>
      </c>
      <c r="B31" s="355"/>
      <c r="C31" s="355"/>
      <c r="D31" s="355"/>
      <c r="E31" s="355"/>
      <c r="F31" s="355"/>
      <c r="G31" s="355"/>
      <c r="H31" s="355"/>
      <c r="I31" s="355"/>
      <c r="J31" s="355"/>
      <c r="K31" s="355"/>
    </row>
    <row r="32" spans="1:11" ht="18.75">
      <c r="A32" s="355" t="s">
        <v>533</v>
      </c>
      <c r="B32" s="355"/>
      <c r="C32" s="355"/>
      <c r="D32" s="355"/>
      <c r="E32" s="355"/>
      <c r="F32" s="355"/>
      <c r="G32" s="355"/>
      <c r="H32" s="355"/>
      <c r="I32" s="355"/>
      <c r="J32" s="355"/>
      <c r="K32" s="355"/>
    </row>
    <row r="33" spans="1:11" ht="18.75">
      <c r="A33" s="355" t="s">
        <v>1857</v>
      </c>
      <c r="B33" s="355"/>
      <c r="C33" s="355"/>
      <c r="D33" s="355"/>
      <c r="E33" s="355"/>
      <c r="F33" s="355"/>
      <c r="G33" s="355"/>
      <c r="H33" s="355"/>
      <c r="I33" s="355"/>
      <c r="J33" s="355"/>
      <c r="K33" s="355"/>
    </row>
    <row r="34" spans="1:11">
      <c r="B34" s="209"/>
    </row>
    <row r="35" spans="1:11">
      <c r="A35" s="369" t="s">
        <v>714</v>
      </c>
      <c r="B35" s="369" t="s">
        <v>715</v>
      </c>
      <c r="C35" s="369" t="s">
        <v>712</v>
      </c>
      <c r="D35" s="371" t="s">
        <v>527</v>
      </c>
      <c r="E35" s="372"/>
      <c r="F35" s="372"/>
      <c r="G35" s="372"/>
      <c r="H35" s="372"/>
      <c r="I35" s="372"/>
      <c r="J35" s="372"/>
      <c r="K35" s="373"/>
    </row>
    <row r="36" spans="1:11">
      <c r="A36" s="370" t="s">
        <v>714</v>
      </c>
      <c r="B36" s="370"/>
      <c r="C36" s="370" t="s">
        <v>712</v>
      </c>
      <c r="D36" s="205">
        <v>2012</v>
      </c>
      <c r="E36" s="205" t="s">
        <v>1800</v>
      </c>
      <c r="F36" s="205" t="s">
        <v>1801</v>
      </c>
      <c r="G36" s="205">
        <v>2013</v>
      </c>
      <c r="H36" s="205">
        <v>2014</v>
      </c>
      <c r="I36" s="205">
        <v>2015</v>
      </c>
      <c r="J36" s="205">
        <v>2016</v>
      </c>
      <c r="K36" s="205" t="s">
        <v>713</v>
      </c>
    </row>
    <row r="37" spans="1:11" ht="30">
      <c r="A37" s="210" t="s">
        <v>835</v>
      </c>
      <c r="B37" s="136" t="s">
        <v>847</v>
      </c>
      <c r="C37" s="211">
        <v>0.05</v>
      </c>
      <c r="D37" s="156">
        <v>0.2</v>
      </c>
      <c r="E37" s="156">
        <v>0.2</v>
      </c>
      <c r="F37" s="156">
        <f>+E37/D37</f>
        <v>1</v>
      </c>
      <c r="G37" s="156">
        <v>0.2</v>
      </c>
      <c r="H37" s="156">
        <v>0.2</v>
      </c>
      <c r="I37" s="156">
        <v>0.2</v>
      </c>
      <c r="J37" s="156">
        <v>0.2</v>
      </c>
      <c r="K37" s="211">
        <f t="shared" ref="K37:K63" si="7">SUM(D37:J37)</f>
        <v>2.1999999999999997</v>
      </c>
    </row>
    <row r="38" spans="1:11">
      <c r="A38" s="210" t="s">
        <v>413</v>
      </c>
      <c r="B38" s="136" t="s">
        <v>848</v>
      </c>
      <c r="C38" s="211">
        <v>0.05</v>
      </c>
      <c r="D38" s="156">
        <f>100%*20%</f>
        <v>0.2</v>
      </c>
      <c r="E38" s="156">
        <v>0.2</v>
      </c>
      <c r="F38" s="156">
        <f t="shared" ref="F38:F56" si="8">+E38/D38</f>
        <v>1</v>
      </c>
      <c r="G38" s="156">
        <f>100%*20%</f>
        <v>0.2</v>
      </c>
      <c r="H38" s="156">
        <f>33%*60%</f>
        <v>0.19800000000000001</v>
      </c>
      <c r="I38" s="156">
        <f>33%*60%</f>
        <v>0.19800000000000001</v>
      </c>
      <c r="J38" s="156">
        <f>34%*60%</f>
        <v>0.20400000000000001</v>
      </c>
      <c r="K38" s="211">
        <f t="shared" si="7"/>
        <v>2.1999999999999997</v>
      </c>
    </row>
    <row r="39" spans="1:11" ht="30">
      <c r="A39" s="210" t="s">
        <v>836</v>
      </c>
      <c r="B39" s="133" t="s">
        <v>852</v>
      </c>
      <c r="C39" s="211">
        <v>0.05</v>
      </c>
      <c r="D39" s="156">
        <v>0.2</v>
      </c>
      <c r="E39" s="156">
        <v>0.2</v>
      </c>
      <c r="F39" s="156">
        <f t="shared" si="8"/>
        <v>1</v>
      </c>
      <c r="G39" s="156">
        <v>0.2</v>
      </c>
      <c r="H39" s="156">
        <v>0.2</v>
      </c>
      <c r="I39" s="156">
        <v>0.2</v>
      </c>
      <c r="J39" s="156">
        <v>0.2</v>
      </c>
      <c r="K39" s="211">
        <f t="shared" si="7"/>
        <v>2.1999999999999997</v>
      </c>
    </row>
    <row r="40" spans="1:11" ht="30">
      <c r="A40" s="210" t="s">
        <v>1365</v>
      </c>
      <c r="B40" s="133" t="s">
        <v>1366</v>
      </c>
      <c r="C40" s="211">
        <v>0.05</v>
      </c>
      <c r="D40" s="156">
        <v>0</v>
      </c>
      <c r="E40" s="156">
        <v>0</v>
      </c>
      <c r="F40" s="156">
        <v>0</v>
      </c>
      <c r="G40" s="156">
        <v>1</v>
      </c>
      <c r="H40" s="156"/>
      <c r="I40" s="156"/>
      <c r="J40" s="156"/>
      <c r="K40" s="211"/>
    </row>
    <row r="41" spans="1:11" ht="30">
      <c r="A41" s="210" t="s">
        <v>411</v>
      </c>
      <c r="B41" s="133" t="s">
        <v>841</v>
      </c>
      <c r="C41" s="211">
        <v>0.05</v>
      </c>
      <c r="D41" s="156">
        <v>0.2</v>
      </c>
      <c r="E41" s="156">
        <v>0.2</v>
      </c>
      <c r="F41" s="156">
        <f t="shared" si="8"/>
        <v>1</v>
      </c>
      <c r="G41" s="156">
        <v>0.2</v>
      </c>
      <c r="H41" s="156">
        <v>0.2</v>
      </c>
      <c r="I41" s="156">
        <v>0.2</v>
      </c>
      <c r="J41" s="156">
        <v>0.2</v>
      </c>
      <c r="K41" s="211">
        <f t="shared" si="7"/>
        <v>2.1999999999999997</v>
      </c>
    </row>
    <row r="42" spans="1:11">
      <c r="A42" s="210" t="s">
        <v>416</v>
      </c>
      <c r="B42" s="133" t="s">
        <v>840</v>
      </c>
      <c r="C42" s="211">
        <v>0.05</v>
      </c>
      <c r="D42" s="156">
        <v>0.2</v>
      </c>
      <c r="E42" s="156">
        <v>0.2</v>
      </c>
      <c r="F42" s="156">
        <f t="shared" si="8"/>
        <v>1</v>
      </c>
      <c r="G42" s="156">
        <v>0.2</v>
      </c>
      <c r="H42" s="156">
        <v>0.2</v>
      </c>
      <c r="I42" s="156">
        <v>0.2</v>
      </c>
      <c r="J42" s="156">
        <v>0.2</v>
      </c>
      <c r="K42" s="211">
        <f t="shared" si="7"/>
        <v>2.1999999999999997</v>
      </c>
    </row>
    <row r="43" spans="1:11" ht="60">
      <c r="A43" s="210" t="s">
        <v>575</v>
      </c>
      <c r="B43" s="133" t="s">
        <v>531</v>
      </c>
      <c r="C43" s="211">
        <v>0.05</v>
      </c>
      <c r="D43" s="156">
        <v>0.2</v>
      </c>
      <c r="E43" s="156">
        <v>0.2</v>
      </c>
      <c r="F43" s="156">
        <f t="shared" si="8"/>
        <v>1</v>
      </c>
      <c r="G43" s="156">
        <v>0.2</v>
      </c>
      <c r="H43" s="156">
        <v>0.2</v>
      </c>
      <c r="I43" s="156">
        <v>0.2</v>
      </c>
      <c r="J43" s="156">
        <v>0.2</v>
      </c>
      <c r="K43" s="211">
        <f t="shared" si="7"/>
        <v>2.1999999999999997</v>
      </c>
    </row>
    <row r="44" spans="1:11">
      <c r="A44" s="210" t="s">
        <v>576</v>
      </c>
      <c r="B44" s="133" t="s">
        <v>839</v>
      </c>
      <c r="C44" s="211">
        <v>0.05</v>
      </c>
      <c r="D44" s="156">
        <v>0.2</v>
      </c>
      <c r="E44" s="156">
        <v>0.2</v>
      </c>
      <c r="F44" s="156">
        <f t="shared" si="8"/>
        <v>1</v>
      </c>
      <c r="G44" s="156">
        <v>0.2</v>
      </c>
      <c r="H44" s="156">
        <v>0.2</v>
      </c>
      <c r="I44" s="156">
        <v>0.2</v>
      </c>
      <c r="J44" s="156">
        <v>0.2</v>
      </c>
      <c r="K44" s="211">
        <f t="shared" si="7"/>
        <v>2.1999999999999997</v>
      </c>
    </row>
    <row r="45" spans="1:11" ht="30">
      <c r="A45" s="210" t="s">
        <v>1358</v>
      </c>
      <c r="B45" s="133" t="s">
        <v>1360</v>
      </c>
      <c r="C45" s="211">
        <v>0.05</v>
      </c>
      <c r="D45" s="53">
        <v>1</v>
      </c>
      <c r="E45" s="53">
        <v>0</v>
      </c>
      <c r="F45" s="156">
        <f t="shared" si="8"/>
        <v>0</v>
      </c>
      <c r="G45" s="156"/>
      <c r="H45" s="156"/>
      <c r="I45" s="156"/>
      <c r="J45" s="156"/>
      <c r="K45" s="211">
        <f t="shared" si="7"/>
        <v>1</v>
      </c>
    </row>
    <row r="46" spans="1:11" ht="30">
      <c r="A46" s="210" t="s">
        <v>1359</v>
      </c>
      <c r="B46" s="133" t="s">
        <v>1361</v>
      </c>
      <c r="C46" s="211">
        <v>0.05</v>
      </c>
      <c r="D46" s="53">
        <f>40%*100%</f>
        <v>0.4</v>
      </c>
      <c r="E46" s="53">
        <f>40%*100%</f>
        <v>0.4</v>
      </c>
      <c r="F46" s="156">
        <f t="shared" si="8"/>
        <v>1</v>
      </c>
      <c r="G46" s="212">
        <f>60%*25%</f>
        <v>0.15</v>
      </c>
      <c r="H46" s="212">
        <f t="shared" ref="H46:J46" si="9">60%*25%</f>
        <v>0.15</v>
      </c>
      <c r="I46" s="212">
        <f t="shared" si="9"/>
        <v>0.15</v>
      </c>
      <c r="J46" s="212">
        <f t="shared" si="9"/>
        <v>0.15</v>
      </c>
      <c r="K46" s="211">
        <f t="shared" si="7"/>
        <v>2.4</v>
      </c>
    </row>
    <row r="47" spans="1:11" ht="30">
      <c r="A47" s="210" t="s">
        <v>577</v>
      </c>
      <c r="B47" s="133" t="s">
        <v>853</v>
      </c>
      <c r="C47" s="211">
        <v>0.05</v>
      </c>
      <c r="D47" s="156">
        <v>0.5</v>
      </c>
      <c r="E47" s="156">
        <f>50%*75%</f>
        <v>0.375</v>
      </c>
      <c r="F47" s="156">
        <f t="shared" si="8"/>
        <v>0.75</v>
      </c>
      <c r="G47" s="156">
        <v>0.5</v>
      </c>
      <c r="H47" s="156"/>
      <c r="I47" s="156"/>
      <c r="J47" s="156"/>
      <c r="K47" s="211">
        <f t="shared" si="7"/>
        <v>2.125</v>
      </c>
    </row>
    <row r="48" spans="1:11">
      <c r="A48" s="210" t="s">
        <v>578</v>
      </c>
      <c r="B48" s="133" t="s">
        <v>545</v>
      </c>
      <c r="C48" s="211">
        <v>0.05</v>
      </c>
      <c r="D48" s="156">
        <v>0</v>
      </c>
      <c r="E48" s="156">
        <v>0</v>
      </c>
      <c r="F48" s="156">
        <v>0</v>
      </c>
      <c r="G48" s="156"/>
      <c r="H48" s="156">
        <v>0.33</v>
      </c>
      <c r="I48" s="156">
        <v>0.33</v>
      </c>
      <c r="J48" s="156">
        <v>0.34</v>
      </c>
      <c r="K48" s="211">
        <f t="shared" si="7"/>
        <v>1</v>
      </c>
    </row>
    <row r="49" spans="1:11" ht="30">
      <c r="A49" s="210" t="s">
        <v>579</v>
      </c>
      <c r="B49" s="133" t="s">
        <v>546</v>
      </c>
      <c r="C49" s="211">
        <v>0.05</v>
      </c>
      <c r="D49" s="156">
        <f>20%*75%+100%*25%</f>
        <v>0.4</v>
      </c>
      <c r="E49" s="156">
        <v>0.4</v>
      </c>
      <c r="F49" s="156">
        <f t="shared" si="8"/>
        <v>1</v>
      </c>
      <c r="G49" s="156">
        <f>20%*75%</f>
        <v>0.15000000000000002</v>
      </c>
      <c r="H49" s="156">
        <f>20%*75%</f>
        <v>0.15000000000000002</v>
      </c>
      <c r="I49" s="156">
        <f>20%*75%</f>
        <v>0.15000000000000002</v>
      </c>
      <c r="J49" s="156">
        <f>20%*75%</f>
        <v>0.15000000000000002</v>
      </c>
      <c r="K49" s="211">
        <f t="shared" si="7"/>
        <v>2.4</v>
      </c>
    </row>
    <row r="50" spans="1:11">
      <c r="A50" s="157" t="s">
        <v>580</v>
      </c>
      <c r="B50" s="136" t="s">
        <v>940</v>
      </c>
      <c r="C50" s="211">
        <v>0.05</v>
      </c>
      <c r="D50" s="156">
        <v>0.2</v>
      </c>
      <c r="E50" s="156">
        <v>0.2</v>
      </c>
      <c r="F50" s="156">
        <f t="shared" si="8"/>
        <v>1</v>
      </c>
      <c r="G50" s="156">
        <v>0.2</v>
      </c>
      <c r="H50" s="156">
        <v>0.2</v>
      </c>
      <c r="I50" s="156">
        <v>0.2</v>
      </c>
      <c r="J50" s="156">
        <v>0.2</v>
      </c>
      <c r="K50" s="211">
        <f t="shared" si="7"/>
        <v>2.1999999999999997</v>
      </c>
    </row>
    <row r="51" spans="1:11" hidden="1">
      <c r="A51" s="157" t="s">
        <v>581</v>
      </c>
      <c r="B51" s="136" t="s">
        <v>547</v>
      </c>
      <c r="C51" s="211">
        <v>0.05</v>
      </c>
      <c r="D51" s="156"/>
      <c r="E51" s="156"/>
      <c r="F51" s="156"/>
      <c r="G51" s="156">
        <v>0.4</v>
      </c>
      <c r="H51" s="156">
        <f>60%*33%</f>
        <v>0.19800000000000001</v>
      </c>
      <c r="I51" s="156">
        <f t="shared" ref="I51:J51" si="10">60%*33%</f>
        <v>0.19800000000000001</v>
      </c>
      <c r="J51" s="156">
        <f t="shared" si="10"/>
        <v>0.19800000000000001</v>
      </c>
      <c r="K51" s="211">
        <f t="shared" si="7"/>
        <v>0.99399999999999999</v>
      </c>
    </row>
    <row r="52" spans="1:11" ht="30" hidden="1">
      <c r="A52" s="157" t="s">
        <v>1354</v>
      </c>
      <c r="B52" s="136" t="s">
        <v>1286</v>
      </c>
      <c r="C52" s="211">
        <v>0.04</v>
      </c>
      <c r="D52" s="178"/>
      <c r="E52" s="178"/>
      <c r="F52" s="156"/>
      <c r="G52" s="178">
        <v>1</v>
      </c>
      <c r="H52" s="178"/>
      <c r="I52" s="178"/>
      <c r="J52" s="178"/>
      <c r="K52" s="211">
        <f t="shared" si="7"/>
        <v>1</v>
      </c>
    </row>
    <row r="53" spans="1:11" ht="21.75" hidden="1" customHeight="1">
      <c r="A53" s="157" t="s">
        <v>1356</v>
      </c>
      <c r="B53" s="136" t="s">
        <v>1357</v>
      </c>
      <c r="C53" s="211">
        <v>0.02</v>
      </c>
      <c r="D53" s="178"/>
      <c r="E53" s="178"/>
      <c r="F53" s="156"/>
      <c r="G53" s="178"/>
      <c r="H53" s="178">
        <v>0.33</v>
      </c>
      <c r="I53" s="178">
        <v>0.33</v>
      </c>
      <c r="J53" s="178">
        <v>0.34</v>
      </c>
      <c r="K53" s="211">
        <f t="shared" si="7"/>
        <v>1</v>
      </c>
    </row>
    <row r="54" spans="1:11" ht="29.25" hidden="1" customHeight="1">
      <c r="A54" s="157" t="s">
        <v>1482</v>
      </c>
      <c r="B54" s="133" t="s">
        <v>1289</v>
      </c>
      <c r="C54" s="211">
        <v>0.02</v>
      </c>
      <c r="D54" s="178"/>
      <c r="E54" s="178"/>
      <c r="F54" s="156"/>
      <c r="G54" s="178">
        <v>0.4</v>
      </c>
      <c r="H54" s="178">
        <f>60%*33%</f>
        <v>0.19800000000000001</v>
      </c>
      <c r="I54" s="178">
        <f>60%*33%</f>
        <v>0.19800000000000001</v>
      </c>
      <c r="J54" s="178">
        <f>60%*34%</f>
        <v>0.20400000000000001</v>
      </c>
      <c r="K54" s="211">
        <f t="shared" si="7"/>
        <v>1</v>
      </c>
    </row>
    <row r="55" spans="1:11" ht="29.25" hidden="1" customHeight="1">
      <c r="A55" s="157" t="s">
        <v>1483</v>
      </c>
      <c r="B55" s="133" t="s">
        <v>1127</v>
      </c>
      <c r="C55" s="211">
        <v>0.02</v>
      </c>
      <c r="D55" s="178"/>
      <c r="E55" s="178"/>
      <c r="F55" s="156"/>
      <c r="G55" s="178">
        <v>1</v>
      </c>
      <c r="H55" s="178"/>
      <c r="I55" s="178"/>
      <c r="J55" s="178"/>
      <c r="K55" s="211">
        <f t="shared" si="7"/>
        <v>1</v>
      </c>
    </row>
    <row r="56" spans="1:11" ht="29.25" customHeight="1">
      <c r="A56" s="157" t="s">
        <v>1529</v>
      </c>
      <c r="B56" s="133" t="s">
        <v>1530</v>
      </c>
      <c r="C56" s="211">
        <v>0.02</v>
      </c>
      <c r="D56" s="54">
        <v>0.4</v>
      </c>
      <c r="E56" s="54">
        <v>0.4</v>
      </c>
      <c r="F56" s="156">
        <f t="shared" si="8"/>
        <v>1</v>
      </c>
      <c r="G56" s="81">
        <v>0.6</v>
      </c>
      <c r="H56" s="178"/>
      <c r="I56" s="178"/>
      <c r="J56" s="178"/>
      <c r="K56" s="211">
        <f t="shared" si="7"/>
        <v>2.4</v>
      </c>
    </row>
    <row r="57" spans="1:11" ht="29.25" hidden="1" customHeight="1">
      <c r="A57" s="157" t="s">
        <v>1528</v>
      </c>
      <c r="B57" s="136" t="s">
        <v>1376</v>
      </c>
      <c r="C57" s="211">
        <v>0.02</v>
      </c>
      <c r="D57" s="54"/>
      <c r="E57" s="54"/>
      <c r="F57" s="156"/>
      <c r="G57" s="81">
        <f>40%*100%</f>
        <v>0.4</v>
      </c>
      <c r="H57" s="178">
        <f>40%*33%+20%*100%</f>
        <v>0.33200000000000002</v>
      </c>
      <c r="I57" s="178">
        <f>40%*33%</f>
        <v>0.13200000000000001</v>
      </c>
      <c r="J57" s="178">
        <f>40%*34%</f>
        <v>0.13600000000000001</v>
      </c>
      <c r="K57" s="211">
        <f t="shared" si="7"/>
        <v>1</v>
      </c>
    </row>
    <row r="58" spans="1:11" ht="30" hidden="1">
      <c r="A58" s="210" t="s">
        <v>1505</v>
      </c>
      <c r="B58" s="133" t="s">
        <v>1362</v>
      </c>
      <c r="C58" s="211">
        <v>0.02</v>
      </c>
      <c r="D58" s="178"/>
      <c r="E58" s="178"/>
      <c r="F58" s="156"/>
      <c r="G58" s="178">
        <v>1</v>
      </c>
      <c r="H58" s="178"/>
      <c r="I58" s="178"/>
      <c r="J58" s="178"/>
      <c r="K58" s="211">
        <f t="shared" si="7"/>
        <v>1</v>
      </c>
    </row>
    <row r="59" spans="1:11" ht="45" hidden="1">
      <c r="A59" s="210" t="s">
        <v>1506</v>
      </c>
      <c r="B59" s="133" t="s">
        <v>1283</v>
      </c>
      <c r="C59" s="211">
        <v>0.02</v>
      </c>
      <c r="D59" s="178"/>
      <c r="E59" s="178"/>
      <c r="F59" s="156"/>
      <c r="G59" s="178"/>
      <c r="H59" s="178"/>
      <c r="I59" s="178"/>
      <c r="J59" s="178">
        <v>1</v>
      </c>
      <c r="K59" s="211">
        <f t="shared" si="7"/>
        <v>1</v>
      </c>
    </row>
    <row r="60" spans="1:11" ht="36" hidden="1" customHeight="1">
      <c r="A60" s="210" t="s">
        <v>1507</v>
      </c>
      <c r="B60" s="133" t="s">
        <v>1363</v>
      </c>
      <c r="C60" s="211">
        <v>0.02</v>
      </c>
      <c r="D60" s="178"/>
      <c r="E60" s="178"/>
      <c r="F60" s="156"/>
      <c r="G60" s="178"/>
      <c r="H60" s="178">
        <v>1</v>
      </c>
      <c r="I60" s="178"/>
      <c r="J60" s="178"/>
      <c r="K60" s="211">
        <f t="shared" si="7"/>
        <v>1</v>
      </c>
    </row>
    <row r="61" spans="1:11" ht="36" hidden="1" customHeight="1">
      <c r="A61" s="210" t="s">
        <v>1508</v>
      </c>
      <c r="B61" s="133" t="s">
        <v>1364</v>
      </c>
      <c r="C61" s="211">
        <v>0.05</v>
      </c>
      <c r="D61" s="178"/>
      <c r="E61" s="178"/>
      <c r="F61" s="156"/>
      <c r="G61" s="178">
        <v>0.4</v>
      </c>
      <c r="H61" s="178">
        <f>60%*33%</f>
        <v>0.19800000000000001</v>
      </c>
      <c r="I61" s="178">
        <f>60%*33%</f>
        <v>0.19800000000000001</v>
      </c>
      <c r="J61" s="178">
        <f>60%*34%</f>
        <v>0.20400000000000001</v>
      </c>
      <c r="K61" s="211">
        <f t="shared" si="7"/>
        <v>1</v>
      </c>
    </row>
    <row r="62" spans="1:11" hidden="1">
      <c r="A62" s="157"/>
      <c r="B62" s="213" t="s">
        <v>713</v>
      </c>
      <c r="C62" s="211">
        <f>SUM(C37:C61)</f>
        <v>1.0000000000000002</v>
      </c>
      <c r="D62" s="382"/>
      <c r="E62" s="383"/>
      <c r="F62" s="383"/>
      <c r="G62" s="384"/>
      <c r="H62" s="384"/>
      <c r="I62" s="384"/>
      <c r="J62" s="384"/>
      <c r="K62" s="385"/>
    </row>
    <row r="63" spans="1:11">
      <c r="A63" s="371" t="s">
        <v>525</v>
      </c>
      <c r="B63" s="373"/>
      <c r="C63" s="214"/>
      <c r="D63" s="207">
        <f>+D37*$C$37+D38*$C$38+D39*$C$39+D40*$C$40+D41*$C$41+D42*$C$42+D43*$C$43+D44*$C$44+D45*$C$45+D46*$C$46+D47*$C$47+D48*$C$48+D49*$C$49+D50*$C$50+D51*$C$51+D52*$C$52+D53*$C$53+D54*$C$54+D55*$C$55+D56*$C$56+D57*$C$57+D58*$C$58+D59*$C$59+D60*$C$60+D61*$C$61</f>
        <v>0.20300000000000001</v>
      </c>
      <c r="E63" s="207">
        <f t="shared" ref="E63" si="11">+E37*$C$37+E38*$C$38+E39*$C$39+E40*$C$40+E41*$C$41+E42*$C$42+E43*$C$43+E44*$C$44+E45*$C$45+E46*$C$46+E47*$C$47+E48*$C$48+E49*$C$49+E50*$C$50+E51*$C$51+E52*$C$52+E53*$C$53+E54*$C$54+E55*$C$55+E56*$C$56+E57*$C$57+E58*$C$58+E59*$C$59+E60*$C$60+E61*$C$61</f>
        <v>0.14675000000000005</v>
      </c>
      <c r="F63" s="207">
        <f>+E63/D63</f>
        <v>0.7229064039408869</v>
      </c>
      <c r="G63" s="207">
        <f t="shared" ref="G63:J63" si="12">+G37*$C$37+G38*$C$38+G39*$C$39+G40*$C$40+G41*$C$41+G42*$C$42+G43*$C$43+G44*$C$44+G45*$C$45+G46*$C$46+G47*$C$47+G48*$C$48+G49*$C$49+G50*$C$50+G51*$C$51+G52*$C$52+G53*$C$53+G54*$C$54+G55*$C$55+G56*$C$56+G57*$C$57+G58*$C$58+G59*$C$59+G60*$C$60+G61*$C$61</f>
        <v>0.31800000000000012</v>
      </c>
      <c r="H63" s="207">
        <f t="shared" si="12"/>
        <v>0.16840000000000002</v>
      </c>
      <c r="I63" s="207">
        <f t="shared" si="12"/>
        <v>0.14440000000000003</v>
      </c>
      <c r="J63" s="207">
        <f t="shared" si="12"/>
        <v>0.16589999999999999</v>
      </c>
      <c r="K63" s="207">
        <f t="shared" si="7"/>
        <v>1.8693564039408872</v>
      </c>
    </row>
    <row r="64" spans="1:11">
      <c r="B64" s="209"/>
    </row>
    <row r="65" spans="1:11">
      <c r="B65" s="209"/>
    </row>
    <row r="66" spans="1:11" ht="18.75">
      <c r="A66" s="355" t="s">
        <v>706</v>
      </c>
      <c r="B66" s="355"/>
      <c r="C66" s="355"/>
      <c r="D66" s="355"/>
      <c r="E66" s="355"/>
      <c r="F66" s="355"/>
      <c r="G66" s="355"/>
      <c r="H66" s="355"/>
      <c r="I66" s="355"/>
      <c r="J66" s="355"/>
      <c r="K66" s="355"/>
    </row>
    <row r="67" spans="1:11" ht="18.75">
      <c r="A67" s="355" t="s">
        <v>710</v>
      </c>
      <c r="B67" s="355"/>
      <c r="C67" s="355"/>
      <c r="D67" s="355"/>
      <c r="E67" s="355"/>
      <c r="F67" s="355"/>
      <c r="G67" s="355"/>
      <c r="H67" s="355"/>
      <c r="I67" s="355"/>
      <c r="J67" s="355"/>
      <c r="K67" s="355"/>
    </row>
    <row r="68" spans="1:11" ht="18.75">
      <c r="A68" s="355" t="s">
        <v>522</v>
      </c>
      <c r="B68" s="355"/>
      <c r="C68" s="355"/>
      <c r="D68" s="355"/>
      <c r="E68" s="355"/>
      <c r="F68" s="355"/>
      <c r="G68" s="355"/>
      <c r="H68" s="355"/>
      <c r="I68" s="355"/>
      <c r="J68" s="355"/>
      <c r="K68" s="355"/>
    </row>
    <row r="69" spans="1:11" ht="18.75">
      <c r="A69" s="355" t="s">
        <v>565</v>
      </c>
      <c r="B69" s="355"/>
      <c r="C69" s="355"/>
      <c r="D69" s="355"/>
      <c r="E69" s="355"/>
      <c r="F69" s="355"/>
      <c r="G69" s="355"/>
      <c r="H69" s="355"/>
      <c r="I69" s="355"/>
      <c r="J69" s="355"/>
      <c r="K69" s="355"/>
    </row>
    <row r="70" spans="1:11" ht="18.75">
      <c r="A70" s="355" t="s">
        <v>1857</v>
      </c>
      <c r="B70" s="355"/>
      <c r="C70" s="355"/>
      <c r="D70" s="355"/>
      <c r="E70" s="355"/>
      <c r="F70" s="355"/>
      <c r="G70" s="355"/>
      <c r="H70" s="355"/>
      <c r="I70" s="355"/>
      <c r="J70" s="355"/>
      <c r="K70" s="355"/>
    </row>
    <row r="71" spans="1:11">
      <c r="B71" s="209"/>
    </row>
    <row r="72" spans="1:11">
      <c r="A72" s="369" t="s">
        <v>714</v>
      </c>
      <c r="B72" s="369" t="s">
        <v>715</v>
      </c>
      <c r="C72" s="369" t="s">
        <v>712</v>
      </c>
      <c r="D72" s="371" t="s">
        <v>527</v>
      </c>
      <c r="E72" s="372"/>
      <c r="F72" s="372"/>
      <c r="G72" s="372"/>
      <c r="H72" s="372"/>
      <c r="I72" s="372"/>
      <c r="J72" s="372"/>
      <c r="K72" s="373"/>
    </row>
    <row r="73" spans="1:11">
      <c r="A73" s="370" t="s">
        <v>714</v>
      </c>
      <c r="B73" s="370"/>
      <c r="C73" s="370" t="s">
        <v>712</v>
      </c>
      <c r="D73" s="205">
        <v>2012</v>
      </c>
      <c r="E73" s="205" t="s">
        <v>1800</v>
      </c>
      <c r="F73" s="205" t="s">
        <v>1801</v>
      </c>
      <c r="G73" s="205">
        <v>2013</v>
      </c>
      <c r="H73" s="205">
        <v>2014</v>
      </c>
      <c r="I73" s="205">
        <v>2015</v>
      </c>
      <c r="J73" s="205">
        <v>2016</v>
      </c>
      <c r="K73" s="205" t="s">
        <v>713</v>
      </c>
    </row>
    <row r="74" spans="1:11" ht="30">
      <c r="A74" s="210" t="s">
        <v>423</v>
      </c>
      <c r="B74" s="133" t="s">
        <v>570</v>
      </c>
      <c r="C74" s="207">
        <v>0.1</v>
      </c>
      <c r="D74" s="156">
        <v>0.2</v>
      </c>
      <c r="E74" s="156">
        <v>0.2</v>
      </c>
      <c r="F74" s="156">
        <f t="shared" ref="F74:F89" si="13">+E74/D74</f>
        <v>1</v>
      </c>
      <c r="G74" s="156">
        <v>0.2</v>
      </c>
      <c r="H74" s="156">
        <v>0.2</v>
      </c>
      <c r="I74" s="156">
        <v>0.2</v>
      </c>
      <c r="J74" s="156">
        <v>0.2</v>
      </c>
      <c r="K74" s="211">
        <f t="shared" ref="K74:K89" si="14">SUM(D74:J74)</f>
        <v>2.1999999999999997</v>
      </c>
    </row>
    <row r="75" spans="1:11" ht="22.5" customHeight="1">
      <c r="A75" s="210" t="s">
        <v>473</v>
      </c>
      <c r="B75" s="133" t="s">
        <v>829</v>
      </c>
      <c r="C75" s="207">
        <v>0.05</v>
      </c>
      <c r="D75" s="156">
        <v>0.2</v>
      </c>
      <c r="E75" s="156">
        <v>0.2</v>
      </c>
      <c r="F75" s="156">
        <f t="shared" si="13"/>
        <v>1</v>
      </c>
      <c r="G75" s="156">
        <v>0.2</v>
      </c>
      <c r="H75" s="156">
        <v>0.2</v>
      </c>
      <c r="I75" s="156">
        <v>0.2</v>
      </c>
      <c r="J75" s="156">
        <v>0.2</v>
      </c>
      <c r="K75" s="211">
        <f t="shared" si="14"/>
        <v>2.1999999999999997</v>
      </c>
    </row>
    <row r="76" spans="1:11" ht="23.25" customHeight="1">
      <c r="A76" s="210" t="s">
        <v>474</v>
      </c>
      <c r="B76" s="133" t="s">
        <v>830</v>
      </c>
      <c r="C76" s="207">
        <v>0.15</v>
      </c>
      <c r="D76" s="156">
        <v>0.2</v>
      </c>
      <c r="E76" s="156">
        <f>20%*90%</f>
        <v>0.18000000000000002</v>
      </c>
      <c r="F76" s="156">
        <f t="shared" si="13"/>
        <v>0.9</v>
      </c>
      <c r="G76" s="156">
        <v>0.2</v>
      </c>
      <c r="H76" s="156">
        <v>0.2</v>
      </c>
      <c r="I76" s="156">
        <v>0.2</v>
      </c>
      <c r="J76" s="156">
        <v>0.2</v>
      </c>
      <c r="K76" s="211">
        <f t="shared" si="14"/>
        <v>2.08</v>
      </c>
    </row>
    <row r="77" spans="1:11" ht="28.5" customHeight="1">
      <c r="A77" s="210" t="s">
        <v>475</v>
      </c>
      <c r="B77" s="133" t="s">
        <v>831</v>
      </c>
      <c r="C77" s="207">
        <v>0.1</v>
      </c>
      <c r="D77" s="156">
        <f>20%*80%+20%*20%</f>
        <v>0.20000000000000004</v>
      </c>
      <c r="E77" s="156">
        <f>20%*87%</f>
        <v>0.17400000000000002</v>
      </c>
      <c r="F77" s="156">
        <f t="shared" si="13"/>
        <v>0.86999999999999988</v>
      </c>
      <c r="G77" s="156">
        <f>20%*80%+20%*20%</f>
        <v>0.20000000000000004</v>
      </c>
      <c r="H77" s="156">
        <f>20%*80%+20%*20%</f>
        <v>0.20000000000000004</v>
      </c>
      <c r="I77" s="156">
        <f>20%*80%+20%*20%</f>
        <v>0.20000000000000004</v>
      </c>
      <c r="J77" s="156">
        <f>20%*80%+20%*20%</f>
        <v>0.20000000000000004</v>
      </c>
      <c r="K77" s="211">
        <f t="shared" si="14"/>
        <v>2.044</v>
      </c>
    </row>
    <row r="78" spans="1:11" hidden="1">
      <c r="A78" s="210"/>
      <c r="B78" s="136"/>
      <c r="C78" s="207"/>
      <c r="D78" s="156"/>
      <c r="E78" s="156"/>
      <c r="F78" s="156"/>
      <c r="G78" s="156"/>
      <c r="H78" s="156"/>
      <c r="I78" s="156"/>
      <c r="J78" s="156"/>
      <c r="K78" s="211">
        <f t="shared" si="14"/>
        <v>0</v>
      </c>
    </row>
    <row r="79" spans="1:11" ht="19.5" customHeight="1">
      <c r="A79" s="210" t="s">
        <v>476</v>
      </c>
      <c r="B79" s="133" t="s">
        <v>832</v>
      </c>
      <c r="C79" s="207">
        <v>0.05</v>
      </c>
      <c r="D79" s="53">
        <f>100%*50%+20%*10%+100%*10%</f>
        <v>0.62</v>
      </c>
      <c r="E79" s="53">
        <f>100%*50%+20%*10%+100%*10%</f>
        <v>0.62</v>
      </c>
      <c r="F79" s="156">
        <f t="shared" si="13"/>
        <v>1</v>
      </c>
      <c r="G79" s="53">
        <f>25%*30%+20%*10%</f>
        <v>9.5000000000000001E-2</v>
      </c>
      <c r="H79" s="53">
        <f>25%*30%+20%*10%</f>
        <v>9.5000000000000001E-2</v>
      </c>
      <c r="I79" s="53">
        <f>25%*30%+20%*10%</f>
        <v>9.5000000000000001E-2</v>
      </c>
      <c r="J79" s="53">
        <f>25%*30%+20%*10%</f>
        <v>9.5000000000000001E-2</v>
      </c>
      <c r="K79" s="211">
        <f t="shared" si="14"/>
        <v>2.620000000000001</v>
      </c>
    </row>
    <row r="80" spans="1:11" ht="21" customHeight="1">
      <c r="A80" s="210" t="s">
        <v>477</v>
      </c>
      <c r="B80" s="136" t="s">
        <v>520</v>
      </c>
      <c r="C80" s="207">
        <v>0.05</v>
      </c>
      <c r="D80" s="156">
        <v>1</v>
      </c>
      <c r="E80" s="156">
        <v>1</v>
      </c>
      <c r="F80" s="156">
        <f t="shared" si="13"/>
        <v>1</v>
      </c>
      <c r="G80" s="156"/>
      <c r="H80" s="156"/>
      <c r="I80" s="156"/>
      <c r="J80" s="156"/>
      <c r="K80" s="211">
        <f t="shared" si="14"/>
        <v>3</v>
      </c>
    </row>
    <row r="81" spans="1:16" ht="29.25" customHeight="1">
      <c r="A81" s="210" t="s">
        <v>582</v>
      </c>
      <c r="B81" s="136" t="s">
        <v>505</v>
      </c>
      <c r="C81" s="207">
        <v>0.05</v>
      </c>
      <c r="D81" s="156">
        <v>0.25</v>
      </c>
      <c r="E81" s="156">
        <v>0.25</v>
      </c>
      <c r="F81" s="156">
        <f t="shared" si="13"/>
        <v>1</v>
      </c>
      <c r="G81" s="156">
        <v>0.25</v>
      </c>
      <c r="H81" s="156">
        <v>0.25</v>
      </c>
      <c r="I81" s="156">
        <v>0.25</v>
      </c>
      <c r="J81" s="156"/>
      <c r="K81" s="211">
        <f>SUM(D81:J81)</f>
        <v>2.25</v>
      </c>
    </row>
    <row r="82" spans="1:16" ht="29.25" customHeight="1">
      <c r="A82" s="210" t="s">
        <v>583</v>
      </c>
      <c r="B82" s="136" t="s">
        <v>551</v>
      </c>
      <c r="C82" s="207">
        <v>0.1</v>
      </c>
      <c r="D82" s="156">
        <f>100%*30%</f>
        <v>0.3</v>
      </c>
      <c r="E82" s="156">
        <f>30%*25%</f>
        <v>7.4999999999999997E-2</v>
      </c>
      <c r="F82" s="156">
        <f t="shared" si="13"/>
        <v>0.25</v>
      </c>
      <c r="G82" s="156">
        <f>25%*70%</f>
        <v>0.17499999999999999</v>
      </c>
      <c r="H82" s="156">
        <f>25%*70%</f>
        <v>0.17499999999999999</v>
      </c>
      <c r="I82" s="156">
        <f>25%*70%</f>
        <v>0.17499999999999999</v>
      </c>
      <c r="J82" s="156">
        <f>25%*70%</f>
        <v>0.17499999999999999</v>
      </c>
      <c r="K82" s="211">
        <f>SUM(D82:J82)</f>
        <v>1.3250000000000002</v>
      </c>
    </row>
    <row r="83" spans="1:16" ht="29.25" customHeight="1">
      <c r="A83" s="210" t="s">
        <v>584</v>
      </c>
      <c r="B83" s="136" t="s">
        <v>572</v>
      </c>
      <c r="C83" s="207">
        <v>0.05</v>
      </c>
      <c r="D83" s="156">
        <v>0</v>
      </c>
      <c r="E83" s="156">
        <v>0</v>
      </c>
      <c r="F83" s="156">
        <v>0</v>
      </c>
      <c r="G83" s="156">
        <v>0.3</v>
      </c>
      <c r="H83" s="156">
        <v>0.7</v>
      </c>
      <c r="I83" s="156"/>
      <c r="J83" s="156"/>
      <c r="K83" s="211">
        <f>SUM(D83:J83)</f>
        <v>1</v>
      </c>
    </row>
    <row r="84" spans="1:16" ht="63" customHeight="1">
      <c r="A84" s="210" t="s">
        <v>585</v>
      </c>
      <c r="B84" s="136" t="s">
        <v>573</v>
      </c>
      <c r="C84" s="207">
        <v>0.05</v>
      </c>
      <c r="D84" s="156">
        <f>100%*30%+20%*60%+20%*10%</f>
        <v>0.44</v>
      </c>
      <c r="E84" s="156">
        <f>100%*30%+20%*60%+20%*10%</f>
        <v>0.44</v>
      </c>
      <c r="F84" s="156">
        <f t="shared" si="13"/>
        <v>1</v>
      </c>
      <c r="G84" s="156">
        <f>20%*60%+20%*10%</f>
        <v>0.14000000000000001</v>
      </c>
      <c r="H84" s="156">
        <f>20%*60%+20%*10%</f>
        <v>0.14000000000000001</v>
      </c>
      <c r="I84" s="156">
        <f>20%*60%+20%*10%</f>
        <v>0.14000000000000001</v>
      </c>
      <c r="J84" s="156">
        <f>20%*60%+20%*10%</f>
        <v>0.14000000000000001</v>
      </c>
      <c r="K84" s="211">
        <f>SUM(D84:J84)</f>
        <v>2.4400000000000004</v>
      </c>
      <c r="M84" s="208">
        <f>SUM(D74:D84)-100%</f>
        <v>2.4099999999999997</v>
      </c>
      <c r="N84" s="208">
        <f>SUM(E74:E84)-100%</f>
        <v>2.1390000000000002</v>
      </c>
      <c r="O84" s="208">
        <f>+N84/M84</f>
        <v>0.88755186721991719</v>
      </c>
      <c r="P84" s="31" t="s">
        <v>1859</v>
      </c>
    </row>
    <row r="85" spans="1:16" ht="29.25" customHeight="1">
      <c r="A85" s="210" t="s">
        <v>1370</v>
      </c>
      <c r="B85" s="133" t="s">
        <v>1367</v>
      </c>
      <c r="C85" s="207">
        <v>0.05</v>
      </c>
      <c r="D85" s="156">
        <v>0.2</v>
      </c>
      <c r="E85" s="156">
        <v>0.2</v>
      </c>
      <c r="F85" s="156">
        <f t="shared" si="13"/>
        <v>1</v>
      </c>
      <c r="G85" s="156">
        <v>0.2</v>
      </c>
      <c r="H85" s="156">
        <v>0.2</v>
      </c>
      <c r="I85" s="156">
        <v>0.2</v>
      </c>
      <c r="J85" s="156">
        <v>0.2</v>
      </c>
      <c r="K85" s="211">
        <f t="shared" ref="K85:K87" si="15">SUM(D85:J85)</f>
        <v>2.1999999999999997</v>
      </c>
    </row>
    <row r="86" spans="1:16" ht="29.25" customHeight="1">
      <c r="A86" s="210" t="s">
        <v>1371</v>
      </c>
      <c r="B86" s="133" t="s">
        <v>1373</v>
      </c>
      <c r="C86" s="207">
        <v>0.05</v>
      </c>
      <c r="D86" s="156">
        <v>0.2</v>
      </c>
      <c r="E86" s="156">
        <v>0</v>
      </c>
      <c r="F86" s="156">
        <f t="shared" si="13"/>
        <v>0</v>
      </c>
      <c r="G86" s="156">
        <v>0.2</v>
      </c>
      <c r="H86" s="156">
        <v>0.2</v>
      </c>
      <c r="I86" s="156">
        <v>0.2</v>
      </c>
      <c r="J86" s="156">
        <v>0.2</v>
      </c>
      <c r="K86" s="211">
        <f t="shared" si="15"/>
        <v>1</v>
      </c>
    </row>
    <row r="87" spans="1:16" ht="29.25" customHeight="1">
      <c r="A87" s="210" t="s">
        <v>1372</v>
      </c>
      <c r="B87" s="136" t="s">
        <v>1375</v>
      </c>
      <c r="C87" s="207">
        <v>0.05</v>
      </c>
      <c r="D87" s="156">
        <v>0.2</v>
      </c>
      <c r="E87" s="156">
        <v>0.2</v>
      </c>
      <c r="F87" s="156">
        <f t="shared" si="13"/>
        <v>1</v>
      </c>
      <c r="G87" s="156">
        <v>0.2</v>
      </c>
      <c r="H87" s="156">
        <v>0.2</v>
      </c>
      <c r="I87" s="156">
        <v>0.2</v>
      </c>
      <c r="J87" s="156">
        <v>0.2</v>
      </c>
      <c r="K87" s="211">
        <f t="shared" si="15"/>
        <v>2.1999999999999997</v>
      </c>
    </row>
    <row r="88" spans="1:16" ht="30">
      <c r="A88" s="210" t="s">
        <v>424</v>
      </c>
      <c r="B88" s="133" t="s">
        <v>521</v>
      </c>
      <c r="C88" s="207">
        <v>0.05</v>
      </c>
      <c r="D88" s="156">
        <v>0.2</v>
      </c>
      <c r="E88" s="156">
        <v>0.2</v>
      </c>
      <c r="F88" s="156">
        <f t="shared" si="13"/>
        <v>1</v>
      </c>
      <c r="G88" s="156">
        <v>0.2</v>
      </c>
      <c r="H88" s="156">
        <v>0.2</v>
      </c>
      <c r="I88" s="156">
        <v>0.2</v>
      </c>
      <c r="J88" s="156">
        <v>0.2</v>
      </c>
      <c r="K88" s="211">
        <f t="shared" si="14"/>
        <v>2.1999999999999997</v>
      </c>
      <c r="M88" s="208">
        <f>SUM(D88:D89)</f>
        <v>0.8</v>
      </c>
      <c r="N88" s="208">
        <f>SUM(E88:E89)</f>
        <v>0.8</v>
      </c>
      <c r="O88" s="208">
        <f>+N88/M88</f>
        <v>1</v>
      </c>
    </row>
    <row r="89" spans="1:16">
      <c r="A89" s="210" t="s">
        <v>425</v>
      </c>
      <c r="B89" s="133" t="s">
        <v>484</v>
      </c>
      <c r="C89" s="207">
        <v>0.05</v>
      </c>
      <c r="D89" s="156">
        <f>100%*60%</f>
        <v>0.6</v>
      </c>
      <c r="E89" s="156">
        <v>0.6</v>
      </c>
      <c r="F89" s="156">
        <f t="shared" si="13"/>
        <v>1</v>
      </c>
      <c r="G89" s="156">
        <f>100%*40%</f>
        <v>0.4</v>
      </c>
      <c r="H89" s="156"/>
      <c r="I89" s="156"/>
      <c r="J89" s="156"/>
      <c r="K89" s="211">
        <f t="shared" si="14"/>
        <v>2.6</v>
      </c>
    </row>
    <row r="90" spans="1:16" hidden="1">
      <c r="A90" s="157"/>
      <c r="B90" s="213" t="s">
        <v>713</v>
      </c>
      <c r="C90" s="211">
        <f>SUM(C74:C89)</f>
        <v>1.0000000000000002</v>
      </c>
      <c r="D90" s="382"/>
      <c r="E90" s="383"/>
      <c r="F90" s="383"/>
      <c r="G90" s="384"/>
      <c r="H90" s="384"/>
      <c r="I90" s="384"/>
      <c r="J90" s="384"/>
      <c r="K90" s="385"/>
    </row>
    <row r="91" spans="1:16">
      <c r="A91" s="371" t="s">
        <v>525</v>
      </c>
      <c r="B91" s="373"/>
      <c r="C91" s="214"/>
      <c r="D91" s="207">
        <f t="shared" ref="D91:J91" si="16">+D74*$C$74+D75*$C$75+D76*$C$76+D77*$C$77+D78*$C$78+D79*$C$79+D80*$C$80+D81*$C$81+D82*$C$82+D83*$C$83+D84*$C$84+D85*$C$85+D86*$C$86+D87*$C$87+D88*$C$88+D89*$C$89</f>
        <v>0.2955000000000001</v>
      </c>
      <c r="E91" s="207">
        <f t="shared" si="16"/>
        <v>0.25740000000000007</v>
      </c>
      <c r="F91" s="207">
        <f t="shared" si="16"/>
        <v>0.79700000000000026</v>
      </c>
      <c r="G91" s="207">
        <f t="shared" si="16"/>
        <v>0.19675000000000009</v>
      </c>
      <c r="H91" s="207">
        <f t="shared" si="16"/>
        <v>0.19675000000000006</v>
      </c>
      <c r="I91" s="207">
        <f t="shared" si="16"/>
        <v>0.16175000000000006</v>
      </c>
      <c r="J91" s="207">
        <f t="shared" si="16"/>
        <v>0.14925000000000005</v>
      </c>
      <c r="K91" s="207">
        <f>SUM(D91:J91)</f>
        <v>2.0544000000000007</v>
      </c>
    </row>
    <row r="94" spans="1:16" ht="18.75">
      <c r="A94" s="355" t="s">
        <v>710</v>
      </c>
      <c r="B94" s="355"/>
      <c r="C94" s="355"/>
      <c r="D94" s="355"/>
      <c r="E94" s="355"/>
      <c r="F94" s="355"/>
      <c r="G94" s="355"/>
      <c r="H94" s="355"/>
      <c r="I94" s="355"/>
      <c r="J94" s="355"/>
      <c r="K94" s="355"/>
    </row>
    <row r="95" spans="1:16" ht="18.75">
      <c r="A95" s="355" t="s">
        <v>522</v>
      </c>
      <c r="B95" s="355"/>
      <c r="C95" s="355"/>
      <c r="D95" s="355"/>
      <c r="E95" s="355"/>
      <c r="F95" s="355"/>
      <c r="G95" s="355"/>
      <c r="H95" s="355"/>
      <c r="I95" s="355"/>
      <c r="J95" s="355"/>
      <c r="K95" s="355"/>
    </row>
    <row r="96" spans="1:16" ht="18.75">
      <c r="A96" s="355" t="s">
        <v>534</v>
      </c>
      <c r="B96" s="355"/>
      <c r="C96" s="355"/>
      <c r="D96" s="355"/>
      <c r="E96" s="355"/>
      <c r="F96" s="355"/>
      <c r="G96" s="355"/>
      <c r="H96" s="355"/>
      <c r="I96" s="355"/>
      <c r="J96" s="355"/>
      <c r="K96" s="355"/>
    </row>
    <row r="97" spans="1:11" ht="18.75">
      <c r="A97" s="355" t="s">
        <v>1857</v>
      </c>
      <c r="B97" s="355"/>
      <c r="C97" s="355"/>
      <c r="D97" s="355"/>
      <c r="E97" s="355"/>
      <c r="F97" s="355"/>
      <c r="G97" s="355"/>
      <c r="H97" s="355"/>
      <c r="I97" s="355"/>
      <c r="J97" s="355"/>
      <c r="K97" s="355"/>
    </row>
    <row r="98" spans="1:11">
      <c r="B98" s="209"/>
    </row>
    <row r="99" spans="1:11">
      <c r="A99" s="369" t="s">
        <v>714</v>
      </c>
      <c r="B99" s="369" t="s">
        <v>715</v>
      </c>
      <c r="C99" s="369" t="s">
        <v>712</v>
      </c>
      <c r="D99" s="371" t="s">
        <v>527</v>
      </c>
      <c r="E99" s="372"/>
      <c r="F99" s="372"/>
      <c r="G99" s="372"/>
      <c r="H99" s="372"/>
      <c r="I99" s="372"/>
      <c r="J99" s="372"/>
      <c r="K99" s="373"/>
    </row>
    <row r="100" spans="1:11">
      <c r="A100" s="370" t="s">
        <v>714</v>
      </c>
      <c r="B100" s="370"/>
      <c r="C100" s="370" t="s">
        <v>712</v>
      </c>
      <c r="D100" s="205">
        <v>2012</v>
      </c>
      <c r="E100" s="205" t="s">
        <v>1800</v>
      </c>
      <c r="F100" s="205" t="s">
        <v>1801</v>
      </c>
      <c r="G100" s="205">
        <v>2013</v>
      </c>
      <c r="H100" s="205">
        <v>2014</v>
      </c>
      <c r="I100" s="205">
        <v>2015</v>
      </c>
      <c r="J100" s="205">
        <v>2016</v>
      </c>
      <c r="K100" s="205" t="s">
        <v>713</v>
      </c>
    </row>
    <row r="101" spans="1:11" ht="30">
      <c r="A101" s="210" t="s">
        <v>837</v>
      </c>
      <c r="B101" s="136" t="s">
        <v>535</v>
      </c>
      <c r="C101" s="211">
        <v>0.04</v>
      </c>
      <c r="D101" s="156">
        <v>0.5</v>
      </c>
      <c r="E101" s="156">
        <v>0</v>
      </c>
      <c r="F101" s="156">
        <f t="shared" ref="F101:F139" si="17">+E101/D101</f>
        <v>0</v>
      </c>
      <c r="G101" s="156">
        <v>0.5</v>
      </c>
      <c r="H101" s="156"/>
      <c r="I101" s="156"/>
      <c r="J101" s="156"/>
      <c r="K101" s="211">
        <f t="shared" ref="K101:K137" si="18">SUM(D101:J101)</f>
        <v>1</v>
      </c>
    </row>
    <row r="102" spans="1:11" ht="45">
      <c r="A102" s="210" t="s">
        <v>838</v>
      </c>
      <c r="B102" s="136" t="s">
        <v>481</v>
      </c>
      <c r="C102" s="211">
        <v>0.04</v>
      </c>
      <c r="D102" s="156">
        <v>0.2</v>
      </c>
      <c r="E102" s="156">
        <v>0.2</v>
      </c>
      <c r="F102" s="156">
        <f t="shared" si="17"/>
        <v>1</v>
      </c>
      <c r="G102" s="156">
        <v>0.2</v>
      </c>
      <c r="H102" s="156">
        <v>0.2</v>
      </c>
      <c r="I102" s="156">
        <v>0.2</v>
      </c>
      <c r="J102" s="156">
        <v>0.2</v>
      </c>
      <c r="K102" s="211">
        <f t="shared" si="18"/>
        <v>2.1999999999999997</v>
      </c>
    </row>
    <row r="103" spans="1:11" ht="45">
      <c r="A103" s="210" t="s">
        <v>586</v>
      </c>
      <c r="B103" s="136" t="s">
        <v>751</v>
      </c>
      <c r="C103" s="211">
        <v>0.04</v>
      </c>
      <c r="D103" s="156">
        <v>0.33</v>
      </c>
      <c r="E103" s="156">
        <v>0.33</v>
      </c>
      <c r="F103" s="156">
        <f t="shared" si="17"/>
        <v>1</v>
      </c>
      <c r="G103" s="156"/>
      <c r="H103" s="156">
        <v>0.33</v>
      </c>
      <c r="I103" s="156"/>
      <c r="J103" s="156">
        <v>0.34</v>
      </c>
      <c r="K103" s="211">
        <f t="shared" si="18"/>
        <v>2.33</v>
      </c>
    </row>
    <row r="104" spans="1:11" ht="45">
      <c r="A104" s="210" t="s">
        <v>587</v>
      </c>
      <c r="B104" s="136" t="s">
        <v>482</v>
      </c>
      <c r="C104" s="211">
        <v>0.04</v>
      </c>
      <c r="D104" s="156">
        <v>0.2</v>
      </c>
      <c r="E104" s="156">
        <v>0.2</v>
      </c>
      <c r="F104" s="156">
        <f t="shared" si="17"/>
        <v>1</v>
      </c>
      <c r="G104" s="156">
        <v>0.2</v>
      </c>
      <c r="H104" s="156">
        <v>0.2</v>
      </c>
      <c r="I104" s="156">
        <v>0.2</v>
      </c>
      <c r="J104" s="156">
        <v>0.2</v>
      </c>
      <c r="K104" s="211">
        <f t="shared" si="18"/>
        <v>2.1999999999999997</v>
      </c>
    </row>
    <row r="105" spans="1:11" ht="37.5" customHeight="1">
      <c r="A105" s="210" t="s">
        <v>588</v>
      </c>
      <c r="B105" s="136" t="s">
        <v>536</v>
      </c>
      <c r="C105" s="211">
        <v>0.02</v>
      </c>
      <c r="D105" s="156">
        <v>0.33</v>
      </c>
      <c r="E105" s="156">
        <f>33%*95%</f>
        <v>0.3135</v>
      </c>
      <c r="F105" s="156">
        <f t="shared" si="17"/>
        <v>0.95</v>
      </c>
      <c r="G105" s="156"/>
      <c r="H105" s="156">
        <v>0.33</v>
      </c>
      <c r="I105" s="156"/>
      <c r="J105" s="156">
        <v>0.34</v>
      </c>
      <c r="K105" s="211">
        <f t="shared" si="18"/>
        <v>2.2635000000000001</v>
      </c>
    </row>
    <row r="106" spans="1:11" ht="45">
      <c r="A106" s="210" t="s">
        <v>589</v>
      </c>
      <c r="B106" s="136" t="s">
        <v>759</v>
      </c>
      <c r="C106" s="211">
        <v>0.02</v>
      </c>
      <c r="D106" s="156">
        <v>1</v>
      </c>
      <c r="E106" s="156">
        <v>1</v>
      </c>
      <c r="F106" s="156">
        <f t="shared" si="17"/>
        <v>1</v>
      </c>
      <c r="G106" s="156"/>
      <c r="H106" s="156"/>
      <c r="I106" s="156"/>
      <c r="J106" s="156"/>
      <c r="K106" s="211">
        <f t="shared" si="18"/>
        <v>3</v>
      </c>
    </row>
    <row r="107" spans="1:11" ht="30">
      <c r="A107" s="210" t="s">
        <v>590</v>
      </c>
      <c r="B107" s="136" t="s">
        <v>762</v>
      </c>
      <c r="C107" s="211">
        <v>0.02</v>
      </c>
      <c r="D107" s="156">
        <f>20%*70%</f>
        <v>0.13999999999999999</v>
      </c>
      <c r="E107" s="156">
        <v>0.14000000000000001</v>
      </c>
      <c r="F107" s="156">
        <f t="shared" si="17"/>
        <v>1.0000000000000002</v>
      </c>
      <c r="G107" s="156">
        <f>20%*70%</f>
        <v>0.13999999999999999</v>
      </c>
      <c r="H107" s="156">
        <f>100%*30%+20%*70%</f>
        <v>0.43999999999999995</v>
      </c>
      <c r="I107" s="156">
        <f>20%*70%</f>
        <v>0.13999999999999999</v>
      </c>
      <c r="J107" s="156">
        <f>20%*70%</f>
        <v>0.13999999999999999</v>
      </c>
      <c r="K107" s="211">
        <f t="shared" si="18"/>
        <v>2.14</v>
      </c>
    </row>
    <row r="108" spans="1:11" ht="45">
      <c r="A108" s="210" t="s">
        <v>591</v>
      </c>
      <c r="B108" s="136" t="s">
        <v>765</v>
      </c>
      <c r="C108" s="211">
        <v>0.02</v>
      </c>
      <c r="D108" s="156"/>
      <c r="E108" s="156">
        <v>0.43</v>
      </c>
      <c r="F108" s="156">
        <v>0.43</v>
      </c>
      <c r="G108" s="156"/>
      <c r="H108" s="156">
        <v>1</v>
      </c>
      <c r="I108" s="156"/>
      <c r="J108" s="156"/>
      <c r="K108" s="211">
        <f t="shared" si="18"/>
        <v>1.8599999999999999</v>
      </c>
    </row>
    <row r="109" spans="1:11" ht="30">
      <c r="A109" s="210" t="s">
        <v>592</v>
      </c>
      <c r="B109" s="136" t="s">
        <v>768</v>
      </c>
      <c r="C109" s="211">
        <v>0.02</v>
      </c>
      <c r="D109" s="156">
        <v>0.2</v>
      </c>
      <c r="E109" s="156">
        <v>0.2</v>
      </c>
      <c r="F109" s="156">
        <f t="shared" si="17"/>
        <v>1</v>
      </c>
      <c r="G109" s="156">
        <v>0.2</v>
      </c>
      <c r="H109" s="156">
        <v>0.2</v>
      </c>
      <c r="I109" s="156">
        <v>0.2</v>
      </c>
      <c r="J109" s="156">
        <v>0.2</v>
      </c>
      <c r="K109" s="211">
        <f t="shared" si="18"/>
        <v>2.1999999999999997</v>
      </c>
    </row>
    <row r="110" spans="1:11">
      <c r="A110" s="210" t="s">
        <v>593</v>
      </c>
      <c r="B110" s="215" t="s">
        <v>792</v>
      </c>
      <c r="C110" s="211">
        <v>0.04</v>
      </c>
      <c r="D110" s="156">
        <v>0</v>
      </c>
      <c r="E110" s="156">
        <v>0</v>
      </c>
      <c r="F110" s="156">
        <v>0</v>
      </c>
      <c r="G110" s="156">
        <v>0.25</v>
      </c>
      <c r="H110" s="156">
        <v>0.25</v>
      </c>
      <c r="I110" s="156">
        <v>0.25</v>
      </c>
      <c r="J110" s="156">
        <v>0.25</v>
      </c>
      <c r="K110" s="211">
        <f>SUM(G110:J110)</f>
        <v>1</v>
      </c>
    </row>
    <row r="111" spans="1:11">
      <c r="A111" s="210" t="s">
        <v>594</v>
      </c>
      <c r="B111" s="181" t="s">
        <v>796</v>
      </c>
      <c r="C111" s="211">
        <v>0.04</v>
      </c>
      <c r="D111" s="156">
        <v>0.33</v>
      </c>
      <c r="E111" s="156">
        <v>0.33</v>
      </c>
      <c r="F111" s="156">
        <f t="shared" si="17"/>
        <v>1</v>
      </c>
      <c r="G111" s="156">
        <v>0.33</v>
      </c>
      <c r="H111" s="156">
        <v>0.34</v>
      </c>
      <c r="I111" s="156"/>
      <c r="J111" s="156"/>
      <c r="K111" s="211">
        <f t="shared" si="18"/>
        <v>2.33</v>
      </c>
    </row>
    <row r="112" spans="1:11" ht="30">
      <c r="A112" s="210" t="s">
        <v>595</v>
      </c>
      <c r="B112" s="215" t="s">
        <v>537</v>
      </c>
      <c r="C112" s="211">
        <v>0.04</v>
      </c>
      <c r="D112" s="53">
        <f>100%*33%+100%*34%</f>
        <v>0.67</v>
      </c>
      <c r="E112" s="53">
        <f>100%*33%+94%*34%</f>
        <v>0.64959999999999996</v>
      </c>
      <c r="F112" s="156">
        <f t="shared" si="17"/>
        <v>0.96955223880597008</v>
      </c>
      <c r="G112" s="53">
        <v>0.33</v>
      </c>
      <c r="H112" s="53"/>
      <c r="I112" s="53"/>
      <c r="J112" s="53"/>
      <c r="K112" s="211">
        <f t="shared" si="18"/>
        <v>2.6191522388059703</v>
      </c>
    </row>
    <row r="113" spans="1:11">
      <c r="A113" s="210" t="s">
        <v>596</v>
      </c>
      <c r="B113" s="215" t="s">
        <v>941</v>
      </c>
      <c r="C113" s="211">
        <v>0.03</v>
      </c>
      <c r="D113" s="156">
        <v>0.25</v>
      </c>
      <c r="E113" s="156">
        <v>0.25</v>
      </c>
      <c r="F113" s="156">
        <f t="shared" si="17"/>
        <v>1</v>
      </c>
      <c r="G113" s="156">
        <f>25%*75%</f>
        <v>0.1875</v>
      </c>
      <c r="H113" s="156">
        <f>25%*75%</f>
        <v>0.1875</v>
      </c>
      <c r="I113" s="156">
        <f>25%*75%</f>
        <v>0.1875</v>
      </c>
      <c r="J113" s="156">
        <f>25%*75%</f>
        <v>0.1875</v>
      </c>
      <c r="K113" s="211">
        <f t="shared" si="18"/>
        <v>2.25</v>
      </c>
    </row>
    <row r="114" spans="1:11" ht="30">
      <c r="A114" s="210" t="s">
        <v>597</v>
      </c>
      <c r="B114" s="215" t="s">
        <v>942</v>
      </c>
      <c r="C114" s="211">
        <v>0.03</v>
      </c>
      <c r="D114" s="156">
        <f>100%*30%</f>
        <v>0.3</v>
      </c>
      <c r="E114" s="156">
        <v>0.3</v>
      </c>
      <c r="F114" s="156">
        <f t="shared" si="17"/>
        <v>1</v>
      </c>
      <c r="G114" s="156">
        <f>50%*70%</f>
        <v>0.35</v>
      </c>
      <c r="H114" s="156">
        <f>50%*70%</f>
        <v>0.35</v>
      </c>
      <c r="I114" s="156"/>
      <c r="J114" s="156"/>
      <c r="K114" s="211">
        <f t="shared" si="18"/>
        <v>2.3000000000000003</v>
      </c>
    </row>
    <row r="115" spans="1:11">
      <c r="A115" s="210" t="s">
        <v>598</v>
      </c>
      <c r="B115" s="215" t="s">
        <v>943</v>
      </c>
      <c r="C115" s="211">
        <v>0.04</v>
      </c>
      <c r="D115" s="156">
        <v>0.2</v>
      </c>
      <c r="E115" s="156">
        <v>0.2</v>
      </c>
      <c r="F115" s="156">
        <f t="shared" si="17"/>
        <v>1</v>
      </c>
      <c r="G115" s="156">
        <v>0.2</v>
      </c>
      <c r="H115" s="156">
        <v>0.2</v>
      </c>
      <c r="I115" s="156">
        <v>0.2</v>
      </c>
      <c r="J115" s="156">
        <v>0.2</v>
      </c>
      <c r="K115" s="211">
        <f t="shared" si="18"/>
        <v>2.1999999999999997</v>
      </c>
    </row>
    <row r="116" spans="1:11" ht="45">
      <c r="A116" s="210" t="s">
        <v>599</v>
      </c>
      <c r="B116" s="215" t="s">
        <v>944</v>
      </c>
      <c r="C116" s="211">
        <v>0.03</v>
      </c>
      <c r="D116" s="156">
        <v>0.2</v>
      </c>
      <c r="E116" s="156">
        <v>0.2</v>
      </c>
      <c r="F116" s="156">
        <f t="shared" si="17"/>
        <v>1</v>
      </c>
      <c r="G116" s="156">
        <v>0.2</v>
      </c>
      <c r="H116" s="156">
        <v>0.2</v>
      </c>
      <c r="I116" s="156">
        <v>0.2</v>
      </c>
      <c r="J116" s="156">
        <v>0.2</v>
      </c>
      <c r="K116" s="211">
        <f t="shared" si="18"/>
        <v>2.1999999999999997</v>
      </c>
    </row>
    <row r="117" spans="1:11" ht="45">
      <c r="A117" s="210" t="s">
        <v>600</v>
      </c>
      <c r="B117" s="215" t="s">
        <v>945</v>
      </c>
      <c r="C117" s="211">
        <v>0.03</v>
      </c>
      <c r="D117" s="156">
        <v>0.2</v>
      </c>
      <c r="E117" s="156">
        <v>0.2</v>
      </c>
      <c r="F117" s="156">
        <f t="shared" si="17"/>
        <v>1</v>
      </c>
      <c r="G117" s="156">
        <v>0.2</v>
      </c>
      <c r="H117" s="156">
        <v>0.2</v>
      </c>
      <c r="I117" s="156">
        <v>0.2</v>
      </c>
      <c r="J117" s="156">
        <v>0.2</v>
      </c>
      <c r="K117" s="211">
        <f t="shared" si="18"/>
        <v>2.1999999999999997</v>
      </c>
    </row>
    <row r="118" spans="1:11" ht="30">
      <c r="A118" s="210" t="s">
        <v>601</v>
      </c>
      <c r="B118" s="215" t="s">
        <v>946</v>
      </c>
      <c r="C118" s="211">
        <v>0.03</v>
      </c>
      <c r="D118" s="156">
        <v>0.2</v>
      </c>
      <c r="E118" s="156">
        <f>20%*67%</f>
        <v>0.13400000000000001</v>
      </c>
      <c r="F118" s="156">
        <f t="shared" si="17"/>
        <v>0.67</v>
      </c>
      <c r="G118" s="156">
        <v>0.2</v>
      </c>
      <c r="H118" s="156">
        <v>0.2</v>
      </c>
      <c r="I118" s="156">
        <v>0.2</v>
      </c>
      <c r="J118" s="156">
        <v>0.2</v>
      </c>
      <c r="K118" s="211">
        <f t="shared" si="18"/>
        <v>1.8039999999999998</v>
      </c>
    </row>
    <row r="119" spans="1:11">
      <c r="A119" s="210" t="s">
        <v>602</v>
      </c>
      <c r="B119" s="215" t="s">
        <v>947</v>
      </c>
      <c r="C119" s="211">
        <v>0.03</v>
      </c>
      <c r="D119" s="156"/>
      <c r="E119" s="156"/>
      <c r="F119" s="156"/>
      <c r="G119" s="156">
        <v>1</v>
      </c>
      <c r="H119" s="156"/>
      <c r="I119" s="156"/>
      <c r="J119" s="156"/>
      <c r="K119" s="211">
        <f t="shared" si="18"/>
        <v>1</v>
      </c>
    </row>
    <row r="120" spans="1:11" ht="30">
      <c r="A120" s="210" t="s">
        <v>603</v>
      </c>
      <c r="B120" s="215" t="s">
        <v>948</v>
      </c>
      <c r="C120" s="211">
        <v>0.04</v>
      </c>
      <c r="D120" s="156">
        <v>0.2</v>
      </c>
      <c r="E120" s="156">
        <v>0.2</v>
      </c>
      <c r="F120" s="156">
        <f t="shared" si="17"/>
        <v>1</v>
      </c>
      <c r="G120" s="156">
        <v>0.2</v>
      </c>
      <c r="H120" s="156">
        <v>0.2</v>
      </c>
      <c r="I120" s="156">
        <v>0.2</v>
      </c>
      <c r="J120" s="156">
        <v>0.2</v>
      </c>
      <c r="K120" s="211">
        <f t="shared" si="18"/>
        <v>2.1999999999999997</v>
      </c>
    </row>
    <row r="121" spans="1:11" ht="30">
      <c r="A121" s="210" t="s">
        <v>604</v>
      </c>
      <c r="B121" s="215" t="s">
        <v>949</v>
      </c>
      <c r="C121" s="211">
        <v>0.02</v>
      </c>
      <c r="D121" s="156">
        <v>0.2</v>
      </c>
      <c r="E121" s="156">
        <v>0.2</v>
      </c>
      <c r="F121" s="156">
        <f t="shared" si="17"/>
        <v>1</v>
      </c>
      <c r="G121" s="156">
        <v>0.2</v>
      </c>
      <c r="H121" s="156">
        <v>0.2</v>
      </c>
      <c r="I121" s="156">
        <v>0.2</v>
      </c>
      <c r="J121" s="156">
        <v>0.2</v>
      </c>
      <c r="K121" s="211">
        <f t="shared" si="18"/>
        <v>2.1999999999999997</v>
      </c>
    </row>
    <row r="122" spans="1:11" ht="30">
      <c r="A122" s="210" t="s">
        <v>605</v>
      </c>
      <c r="B122" s="215" t="s">
        <v>950</v>
      </c>
      <c r="C122" s="211">
        <v>0.03</v>
      </c>
      <c r="D122" s="156">
        <v>0.2</v>
      </c>
      <c r="E122" s="156">
        <v>0.2</v>
      </c>
      <c r="F122" s="156">
        <f t="shared" si="17"/>
        <v>1</v>
      </c>
      <c r="G122" s="156">
        <v>0.2</v>
      </c>
      <c r="H122" s="156">
        <v>0.2</v>
      </c>
      <c r="I122" s="156">
        <v>0.2</v>
      </c>
      <c r="J122" s="156">
        <v>0.2</v>
      </c>
      <c r="K122" s="211">
        <f t="shared" si="18"/>
        <v>2.1999999999999997</v>
      </c>
    </row>
    <row r="123" spans="1:11" ht="30">
      <c r="A123" s="210" t="s">
        <v>606</v>
      </c>
      <c r="B123" s="215" t="s">
        <v>951</v>
      </c>
      <c r="C123" s="211">
        <v>0.02</v>
      </c>
      <c r="D123" s="156">
        <v>0.5</v>
      </c>
      <c r="E123" s="156">
        <v>0.25</v>
      </c>
      <c r="F123" s="156">
        <f t="shared" si="17"/>
        <v>0.5</v>
      </c>
      <c r="G123" s="156">
        <v>0.5</v>
      </c>
      <c r="H123" s="156"/>
      <c r="I123" s="156"/>
      <c r="J123" s="156"/>
      <c r="K123" s="211">
        <f t="shared" si="18"/>
        <v>1.75</v>
      </c>
    </row>
    <row r="124" spans="1:11" ht="30">
      <c r="A124" s="210" t="s">
        <v>607</v>
      </c>
      <c r="B124" s="215" t="s">
        <v>952</v>
      </c>
      <c r="C124" s="211">
        <v>0.02</v>
      </c>
      <c r="D124" s="156">
        <v>0.5</v>
      </c>
      <c r="E124" s="156">
        <f>50%*97%</f>
        <v>0.48499999999999999</v>
      </c>
      <c r="F124" s="156">
        <f t="shared" si="17"/>
        <v>0.97</v>
      </c>
      <c r="G124" s="156">
        <v>0.5</v>
      </c>
      <c r="H124" s="156"/>
      <c r="I124" s="156"/>
      <c r="J124" s="156"/>
      <c r="K124" s="211">
        <f t="shared" si="18"/>
        <v>2.4550000000000001</v>
      </c>
    </row>
    <row r="125" spans="1:11">
      <c r="A125" s="210" t="s">
        <v>608</v>
      </c>
      <c r="B125" s="215" t="s">
        <v>953</v>
      </c>
      <c r="C125" s="211">
        <v>0.02</v>
      </c>
      <c r="D125" s="156">
        <v>1</v>
      </c>
      <c r="E125" s="156">
        <v>0.98</v>
      </c>
      <c r="F125" s="156">
        <f t="shared" si="17"/>
        <v>0.98</v>
      </c>
      <c r="G125" s="156"/>
      <c r="H125" s="156"/>
      <c r="I125" s="156"/>
      <c r="J125" s="156"/>
      <c r="K125" s="211">
        <f t="shared" si="18"/>
        <v>2.96</v>
      </c>
    </row>
    <row r="126" spans="1:11">
      <c r="A126" s="210" t="s">
        <v>609</v>
      </c>
      <c r="B126" s="215" t="s">
        <v>954</v>
      </c>
      <c r="C126" s="211">
        <v>0.02</v>
      </c>
      <c r="D126" s="156">
        <v>1</v>
      </c>
      <c r="E126" s="156">
        <v>0.85</v>
      </c>
      <c r="F126" s="156">
        <f t="shared" si="17"/>
        <v>0.85</v>
      </c>
      <c r="G126" s="156"/>
      <c r="H126" s="156"/>
      <c r="I126" s="156"/>
      <c r="J126" s="156"/>
      <c r="K126" s="211">
        <f t="shared" si="18"/>
        <v>2.7</v>
      </c>
    </row>
    <row r="127" spans="1:11">
      <c r="A127" s="210" t="s">
        <v>610</v>
      </c>
      <c r="B127" s="215" t="s">
        <v>955</v>
      </c>
      <c r="C127" s="211">
        <v>0.02</v>
      </c>
      <c r="D127" s="156">
        <v>1</v>
      </c>
      <c r="E127" s="156">
        <v>1</v>
      </c>
      <c r="F127" s="156">
        <f t="shared" si="17"/>
        <v>1</v>
      </c>
      <c r="G127" s="156"/>
      <c r="H127" s="156"/>
      <c r="I127" s="156"/>
      <c r="J127" s="156"/>
      <c r="K127" s="211">
        <f t="shared" si="18"/>
        <v>3</v>
      </c>
    </row>
    <row r="128" spans="1:11" ht="30">
      <c r="A128" s="210" t="s">
        <v>611</v>
      </c>
      <c r="B128" s="215" t="s">
        <v>956</v>
      </c>
      <c r="C128" s="211">
        <v>0.03</v>
      </c>
      <c r="D128" s="156">
        <v>0.5</v>
      </c>
      <c r="E128" s="156">
        <v>0.5</v>
      </c>
      <c r="F128" s="156">
        <f t="shared" si="17"/>
        <v>1</v>
      </c>
      <c r="G128" s="156">
        <v>0.5</v>
      </c>
      <c r="H128" s="156"/>
      <c r="I128" s="156"/>
      <c r="J128" s="156"/>
      <c r="K128" s="211">
        <f t="shared" si="18"/>
        <v>2.5</v>
      </c>
    </row>
    <row r="129" spans="1:16" ht="60">
      <c r="A129" s="210" t="s">
        <v>612</v>
      </c>
      <c r="B129" s="215" t="s">
        <v>427</v>
      </c>
      <c r="C129" s="211">
        <v>0.02</v>
      </c>
      <c r="D129" s="156">
        <f>100%*20%+10%*80%</f>
        <v>0.28000000000000003</v>
      </c>
      <c r="E129" s="53">
        <f>28%*0.2</f>
        <v>5.6000000000000008E-2</v>
      </c>
      <c r="F129" s="156">
        <f t="shared" si="17"/>
        <v>0.2</v>
      </c>
      <c r="G129" s="156">
        <f>20%*80%</f>
        <v>0.16000000000000003</v>
      </c>
      <c r="H129" s="156">
        <f>30%*80%</f>
        <v>0.24</v>
      </c>
      <c r="I129" s="156">
        <f>40%*80%</f>
        <v>0.32000000000000006</v>
      </c>
      <c r="J129" s="156"/>
      <c r="K129" s="211">
        <f t="shared" si="18"/>
        <v>1.2560000000000002</v>
      </c>
    </row>
    <row r="130" spans="1:16" ht="30">
      <c r="A130" s="210" t="s">
        <v>613</v>
      </c>
      <c r="B130" s="215" t="s">
        <v>428</v>
      </c>
      <c r="C130" s="211">
        <v>0.02</v>
      </c>
      <c r="D130" s="156">
        <v>0.2</v>
      </c>
      <c r="E130" s="156">
        <f>20%*50%</f>
        <v>0.1</v>
      </c>
      <c r="F130" s="156">
        <f t="shared" si="17"/>
        <v>0.5</v>
      </c>
      <c r="G130" s="156">
        <v>0.2</v>
      </c>
      <c r="H130" s="156">
        <v>0.2</v>
      </c>
      <c r="I130" s="156">
        <v>0.2</v>
      </c>
      <c r="J130" s="156">
        <v>0.2</v>
      </c>
      <c r="K130" s="211">
        <f t="shared" si="18"/>
        <v>1.5999999999999999</v>
      </c>
    </row>
    <row r="131" spans="1:16" ht="30">
      <c r="A131" s="210" t="s">
        <v>614</v>
      </c>
      <c r="B131" s="215" t="s">
        <v>538</v>
      </c>
      <c r="C131" s="211">
        <v>0.02</v>
      </c>
      <c r="D131" s="156">
        <v>0.2</v>
      </c>
      <c r="E131" s="156">
        <v>0.2</v>
      </c>
      <c r="F131" s="156">
        <f t="shared" si="17"/>
        <v>1</v>
      </c>
      <c r="G131" s="156">
        <v>0.2</v>
      </c>
      <c r="H131" s="156">
        <v>0.2</v>
      </c>
      <c r="I131" s="156">
        <v>0.2</v>
      </c>
      <c r="J131" s="156">
        <v>0.2</v>
      </c>
      <c r="K131" s="211">
        <f t="shared" si="18"/>
        <v>2.1999999999999997</v>
      </c>
    </row>
    <row r="132" spans="1:16" ht="30">
      <c r="A132" s="210" t="s">
        <v>615</v>
      </c>
      <c r="B132" s="136" t="s">
        <v>388</v>
      </c>
      <c r="C132" s="211">
        <v>0.02</v>
      </c>
      <c r="D132" s="156">
        <v>0</v>
      </c>
      <c r="E132" s="156">
        <v>0</v>
      </c>
      <c r="F132" s="156">
        <v>0</v>
      </c>
      <c r="G132" s="156"/>
      <c r="H132" s="156">
        <v>0.5</v>
      </c>
      <c r="I132" s="156"/>
      <c r="J132" s="156">
        <v>0.5</v>
      </c>
      <c r="K132" s="211">
        <f t="shared" si="18"/>
        <v>1</v>
      </c>
      <c r="M132" s="208">
        <f>SUM(D101:D132)</f>
        <v>11.03</v>
      </c>
      <c r="N132" s="208">
        <f>SUM(E101:E132)</f>
        <v>10.098100000000001</v>
      </c>
      <c r="O132" s="208">
        <f>+N132/M132</f>
        <v>0.91551223934723491</v>
      </c>
      <c r="P132" s="31" t="s">
        <v>1858</v>
      </c>
    </row>
    <row r="133" spans="1:16" ht="30">
      <c r="A133" s="210" t="s">
        <v>1378</v>
      </c>
      <c r="B133" s="136" t="s">
        <v>1294</v>
      </c>
      <c r="C133" s="211">
        <v>0.02</v>
      </c>
      <c r="D133" s="156">
        <f>100%*10%+100%*10%</f>
        <v>0.2</v>
      </c>
      <c r="E133" s="156">
        <f>50%*10%+100%*10%</f>
        <v>0.15000000000000002</v>
      </c>
      <c r="F133" s="156">
        <f t="shared" si="17"/>
        <v>0.75000000000000011</v>
      </c>
      <c r="G133" s="156">
        <f>30%*25%+10%*100%+30%*25%+10%*100%</f>
        <v>0.35</v>
      </c>
      <c r="H133" s="156">
        <f>30%*25%+30%*25%</f>
        <v>0.15</v>
      </c>
      <c r="I133" s="156">
        <f t="shared" ref="I133:J133" si="19">30%*25%+30%*25%</f>
        <v>0.15</v>
      </c>
      <c r="J133" s="156">
        <f t="shared" si="19"/>
        <v>0.15</v>
      </c>
      <c r="K133" s="211">
        <f t="shared" si="18"/>
        <v>1.9</v>
      </c>
    </row>
    <row r="134" spans="1:16" ht="45" hidden="1">
      <c r="A134" s="210" t="s">
        <v>1379</v>
      </c>
      <c r="B134" s="136" t="s">
        <v>1382</v>
      </c>
      <c r="C134" s="211">
        <v>0.02</v>
      </c>
      <c r="D134" s="156"/>
      <c r="E134" s="156"/>
      <c r="F134" s="156"/>
      <c r="G134" s="156">
        <v>1</v>
      </c>
      <c r="H134" s="156"/>
      <c r="I134" s="156"/>
      <c r="J134" s="156"/>
      <c r="K134" s="211">
        <f t="shared" si="18"/>
        <v>1</v>
      </c>
    </row>
    <row r="135" spans="1:16" ht="75" hidden="1">
      <c r="A135" s="210" t="s">
        <v>1380</v>
      </c>
      <c r="B135" s="136" t="s">
        <v>1383</v>
      </c>
      <c r="C135" s="211">
        <v>0.02</v>
      </c>
      <c r="D135" s="156"/>
      <c r="E135" s="156"/>
      <c r="F135" s="156"/>
      <c r="G135" s="156">
        <f>33%*25%+33%*100%+34%*25%</f>
        <v>0.49750000000000005</v>
      </c>
      <c r="H135" s="156">
        <f>33%*25%+34%*25%</f>
        <v>0.16750000000000001</v>
      </c>
      <c r="I135" s="156">
        <f t="shared" ref="I135:J135" si="20">33%*25%+34%*25%</f>
        <v>0.16750000000000001</v>
      </c>
      <c r="J135" s="156">
        <f t="shared" si="20"/>
        <v>0.16750000000000001</v>
      </c>
      <c r="K135" s="211">
        <f t="shared" si="18"/>
        <v>1</v>
      </c>
    </row>
    <row r="136" spans="1:16" ht="36" customHeight="1">
      <c r="A136" s="210" t="s">
        <v>1381</v>
      </c>
      <c r="B136" s="136" t="s">
        <v>1384</v>
      </c>
      <c r="C136" s="211">
        <v>0.02</v>
      </c>
      <c r="D136" s="156">
        <v>0.33</v>
      </c>
      <c r="E136" s="156">
        <f>33%*75%</f>
        <v>0.2475</v>
      </c>
      <c r="F136" s="156">
        <f t="shared" si="17"/>
        <v>0.75</v>
      </c>
      <c r="G136" s="156">
        <f>33%*25%</f>
        <v>8.2500000000000004E-2</v>
      </c>
      <c r="H136" s="156">
        <f>34%*100%+33%*25%</f>
        <v>0.42250000000000004</v>
      </c>
      <c r="I136" s="156">
        <f>33%*25%</f>
        <v>8.2500000000000004E-2</v>
      </c>
      <c r="J136" s="156">
        <f>33%*25%</f>
        <v>8.2500000000000004E-2</v>
      </c>
      <c r="K136" s="211">
        <f t="shared" si="18"/>
        <v>1.9975000000000003</v>
      </c>
    </row>
    <row r="137" spans="1:16" ht="36" customHeight="1">
      <c r="A137" s="210" t="s">
        <v>1411</v>
      </c>
      <c r="B137" s="136" t="s">
        <v>1412</v>
      </c>
      <c r="C137" s="211">
        <v>0.02</v>
      </c>
      <c r="D137" s="156">
        <v>0.2</v>
      </c>
      <c r="E137" s="156">
        <v>0.2</v>
      </c>
      <c r="F137" s="156">
        <f t="shared" si="17"/>
        <v>1</v>
      </c>
      <c r="G137" s="156">
        <v>0.2</v>
      </c>
      <c r="H137" s="156">
        <v>0.2</v>
      </c>
      <c r="I137" s="156">
        <v>0.2</v>
      </c>
      <c r="J137" s="156">
        <v>0.2</v>
      </c>
      <c r="K137" s="211">
        <f t="shared" si="18"/>
        <v>2.1999999999999997</v>
      </c>
    </row>
    <row r="138" spans="1:16" hidden="1">
      <c r="A138" s="157"/>
      <c r="B138" s="213" t="s">
        <v>713</v>
      </c>
      <c r="C138" s="211">
        <f>SUM(C101:C137)</f>
        <v>1.0000000000000002</v>
      </c>
      <c r="D138" s="382"/>
      <c r="E138" s="383"/>
      <c r="F138" s="383"/>
      <c r="G138" s="384"/>
      <c r="H138" s="384"/>
      <c r="I138" s="384"/>
      <c r="J138" s="384"/>
      <c r="K138" s="385"/>
    </row>
    <row r="139" spans="1:16">
      <c r="A139" s="371" t="s">
        <v>525</v>
      </c>
      <c r="B139" s="373"/>
      <c r="C139" s="214"/>
      <c r="D139" s="207">
        <f>+D101*$C$101+D102*$C$102+D103*$C$103+D104*$C$104+D105*$C$105+D106*$C$106+D107*$C$107+D108*$C$108+D109*$C$109+D110*$C$110+D111*$C$111+D112*$C$112+D113*$C$113+D114*$C$114+D115*$C$115+D116*$C$116+D117*$C$117+D118*$C$118+D119*$C$119+D120*$C$120+D121*$C$121+D122*$C$122+D123*$C$123+D124*$C$124+D125*$C$125+D126*$C$126+D127*$C$127+D128*$C$128+D129*$C$129+D130*$C$130+D131*$C$131+D132*$C$132+D133*$C$133+D134*$C$134+D135*$C$135+D136*$C$136+D137*$C$137</f>
        <v>0.30630000000000007</v>
      </c>
      <c r="E139" s="207">
        <f t="shared" ref="E139" si="21">+E101*$C$101+E102*$C$102+E103*$C$103+E104*$C$104+E105*$C$105+E106*$C$106+E107*$C$107+E108*$C$108+E109*$C$109+E110*$C$110+E111*$C$111+E112*$C$112+E113*$C$113+E114*$C$114+E115*$C$115+E116*$C$116+E117*$C$117+E118*$C$118+E119*$C$119+E120*$C$120+E121*$C$121+E122*$C$122+E123*$C$123+E124*$C$124+E125*$C$125+E126*$C$126+E127*$C$127+E128*$C$128+E129*$C$129+E130*$C$130+E131*$C$131+E132*$C$132+E133*$C$133+E134*$C$134+E135*$C$135+E136*$C$136+E137*$C$137</f>
        <v>0.27394400000000008</v>
      </c>
      <c r="F139" s="207">
        <f t="shared" si="17"/>
        <v>0.89436500163238664</v>
      </c>
      <c r="G139" s="207">
        <f t="shared" ref="G139:J139" si="22">+G101*$C$101+G102*$C$102+G103*$C$103+G104*$C$104+G105*$C$105+G106*$C$106+G107*$C$107+G108*$C$108+G109*$C$109+G110*$C$110+G111*$C$111+G112*$C$112+G113*$C$113+G114*$C$114+G115*$C$115+G116*$C$116+G117*$C$117+G118*$C$118+G119*$C$119+G120*$C$120+G121*$C$121+G122*$C$122+G123*$C$123+G124*$C$124+G125*$C$125+G126*$C$126+G127*$C$127+G128*$C$128+G129*$C$129+G130*$C$130+G131*$C$131+G132*$C$132+G133*$C$133+G134*$C$134+G135*$C$135+G136*$C$136+G137*$C$137</f>
        <v>0.25812500000000005</v>
      </c>
      <c r="H139" s="207">
        <f t="shared" si="22"/>
        <v>0.19392500000000007</v>
      </c>
      <c r="I139" s="207">
        <f t="shared" si="22"/>
        <v>0.10882500000000002</v>
      </c>
      <c r="J139" s="207">
        <f t="shared" si="22"/>
        <v>0.13282500000000005</v>
      </c>
      <c r="K139" s="207">
        <f>SUM(D139:J139)</f>
        <v>2.1683090016323869</v>
      </c>
    </row>
    <row r="142" spans="1:16" ht="18.75">
      <c r="A142" s="355" t="s">
        <v>706</v>
      </c>
      <c r="B142" s="355"/>
      <c r="C142" s="355"/>
      <c r="D142" s="355"/>
      <c r="E142" s="355"/>
      <c r="F142" s="355"/>
      <c r="G142" s="355"/>
      <c r="H142" s="355"/>
      <c r="I142" s="355"/>
      <c r="J142" s="355"/>
      <c r="K142" s="355"/>
    </row>
    <row r="143" spans="1:16" ht="18.75">
      <c r="A143" s="355" t="s">
        <v>710</v>
      </c>
      <c r="B143" s="355"/>
      <c r="C143" s="355"/>
      <c r="D143" s="355"/>
      <c r="E143" s="355"/>
      <c r="F143" s="355"/>
      <c r="G143" s="355"/>
      <c r="H143" s="355"/>
      <c r="I143" s="355"/>
      <c r="J143" s="355"/>
      <c r="K143" s="355"/>
    </row>
    <row r="144" spans="1:16" ht="18.75">
      <c r="A144" s="355" t="s">
        <v>522</v>
      </c>
      <c r="B144" s="355"/>
      <c r="C144" s="355"/>
      <c r="D144" s="355"/>
      <c r="E144" s="355"/>
      <c r="F144" s="355"/>
      <c r="G144" s="355"/>
      <c r="H144" s="355"/>
      <c r="I144" s="355"/>
      <c r="J144" s="355"/>
      <c r="K144" s="355"/>
    </row>
    <row r="145" spans="1:15" ht="18.75">
      <c r="A145" s="355" t="s">
        <v>541</v>
      </c>
      <c r="B145" s="355"/>
      <c r="C145" s="355"/>
      <c r="D145" s="355"/>
      <c r="E145" s="355"/>
      <c r="F145" s="355"/>
      <c r="G145" s="355"/>
      <c r="H145" s="355"/>
      <c r="I145" s="355"/>
      <c r="J145" s="355"/>
      <c r="K145" s="355"/>
    </row>
    <row r="146" spans="1:15" ht="18.75">
      <c r="A146" s="355" t="s">
        <v>1857</v>
      </c>
      <c r="B146" s="355"/>
      <c r="C146" s="355"/>
      <c r="D146" s="355"/>
      <c r="E146" s="355"/>
      <c r="F146" s="355"/>
      <c r="G146" s="355"/>
      <c r="H146" s="355"/>
      <c r="I146" s="355"/>
      <c r="J146" s="355"/>
      <c r="K146" s="355"/>
    </row>
    <row r="147" spans="1:15">
      <c r="A147" s="216"/>
      <c r="B147" s="216"/>
      <c r="C147" s="150"/>
      <c r="D147" s="150"/>
      <c r="E147" s="150"/>
      <c r="F147" s="150"/>
      <c r="G147" s="150"/>
      <c r="H147" s="150"/>
      <c r="I147" s="150"/>
      <c r="J147" s="150"/>
    </row>
    <row r="148" spans="1:15">
      <c r="A148" s="369" t="s">
        <v>714</v>
      </c>
      <c r="B148" s="369" t="s">
        <v>715</v>
      </c>
      <c r="C148" s="369" t="s">
        <v>712</v>
      </c>
      <c r="D148" s="371" t="s">
        <v>527</v>
      </c>
      <c r="E148" s="372"/>
      <c r="F148" s="372"/>
      <c r="G148" s="372"/>
      <c r="H148" s="372"/>
      <c r="I148" s="372"/>
      <c r="J148" s="372"/>
      <c r="K148" s="373"/>
    </row>
    <row r="149" spans="1:15">
      <c r="A149" s="370" t="s">
        <v>714</v>
      </c>
      <c r="B149" s="370"/>
      <c r="C149" s="370" t="s">
        <v>712</v>
      </c>
      <c r="D149" s="205">
        <v>2012</v>
      </c>
      <c r="E149" s="205" t="s">
        <v>1800</v>
      </c>
      <c r="F149" s="205" t="s">
        <v>1801</v>
      </c>
      <c r="G149" s="205">
        <v>2013</v>
      </c>
      <c r="H149" s="205">
        <v>2014</v>
      </c>
      <c r="I149" s="205">
        <v>2015</v>
      </c>
      <c r="J149" s="205">
        <v>2016</v>
      </c>
      <c r="K149" s="205" t="s">
        <v>713</v>
      </c>
    </row>
    <row r="150" spans="1:15" ht="60">
      <c r="A150" s="210" t="s">
        <v>846</v>
      </c>
      <c r="B150" s="133" t="s">
        <v>530</v>
      </c>
      <c r="C150" s="211">
        <v>0.05</v>
      </c>
      <c r="D150" s="156">
        <v>0.2</v>
      </c>
      <c r="E150" s="156">
        <v>0</v>
      </c>
      <c r="F150" s="156">
        <f t="shared" ref="F150:F173" si="23">+E150/D150</f>
        <v>0</v>
      </c>
      <c r="G150" s="156">
        <v>0.2</v>
      </c>
      <c r="H150" s="156">
        <v>0.2</v>
      </c>
      <c r="I150" s="156">
        <v>0.2</v>
      </c>
      <c r="J150" s="156">
        <v>0.2</v>
      </c>
      <c r="K150" s="211">
        <f>SUM(D150:J150)</f>
        <v>1</v>
      </c>
    </row>
    <row r="151" spans="1:15">
      <c r="A151" s="210" t="s">
        <v>616</v>
      </c>
      <c r="B151" s="133" t="s">
        <v>502</v>
      </c>
      <c r="C151" s="211">
        <v>0.05</v>
      </c>
      <c r="D151" s="53">
        <v>0.2</v>
      </c>
      <c r="E151" s="53">
        <v>0.2</v>
      </c>
      <c r="F151" s="156">
        <f t="shared" si="23"/>
        <v>1</v>
      </c>
      <c r="G151" s="53">
        <v>0.2</v>
      </c>
      <c r="H151" s="53">
        <v>0.2</v>
      </c>
      <c r="I151" s="53">
        <v>0.2</v>
      </c>
      <c r="J151" s="53">
        <v>0.2</v>
      </c>
      <c r="K151" s="211">
        <f>SUM(D151:J151)</f>
        <v>2.1999999999999997</v>
      </c>
    </row>
    <row r="152" spans="1:15" ht="60">
      <c r="A152" s="210" t="s">
        <v>617</v>
      </c>
      <c r="B152" s="133" t="s">
        <v>845</v>
      </c>
      <c r="C152" s="211">
        <v>0.1</v>
      </c>
      <c r="D152" s="156">
        <v>0.2</v>
      </c>
      <c r="E152" s="156">
        <v>0.2</v>
      </c>
      <c r="F152" s="156">
        <f t="shared" si="23"/>
        <v>1</v>
      </c>
      <c r="G152" s="156">
        <v>0.2</v>
      </c>
      <c r="H152" s="156">
        <v>0.2</v>
      </c>
      <c r="I152" s="156">
        <v>0.2</v>
      </c>
      <c r="J152" s="156">
        <v>0.2</v>
      </c>
      <c r="K152" s="211">
        <f t="shared" ref="K152:K181" si="24">SUM(D152:J152)</f>
        <v>2.1999999999999997</v>
      </c>
    </row>
    <row r="153" spans="1:15" ht="45">
      <c r="A153" s="210" t="s">
        <v>618</v>
      </c>
      <c r="B153" s="52" t="s">
        <v>844</v>
      </c>
      <c r="C153" s="211">
        <v>0.1</v>
      </c>
      <c r="D153" s="156">
        <f>100%*10%+20%*20%+20%*20%+20%*30%+10%*20%</f>
        <v>0.26</v>
      </c>
      <c r="E153" s="156">
        <v>0.26</v>
      </c>
      <c r="F153" s="156">
        <f t="shared" si="23"/>
        <v>1</v>
      </c>
      <c r="G153" s="156">
        <f>20%*20%+20%*20%+20%*30%+10%*25%+10%*20%</f>
        <v>0.185</v>
      </c>
      <c r="H153" s="156">
        <f>20%*20%+20%*20%+20%*30%+10%*25%+10%*20%</f>
        <v>0.185</v>
      </c>
      <c r="I153" s="156">
        <f t="shared" ref="I153:J153" si="25">20%*20%+20%*20%+20%*30%+10%*25%+10%*20%</f>
        <v>0.185</v>
      </c>
      <c r="J153" s="156">
        <f t="shared" si="25"/>
        <v>0.185</v>
      </c>
      <c r="K153" s="211">
        <f t="shared" si="24"/>
        <v>2.2600000000000002</v>
      </c>
    </row>
    <row r="154" spans="1:15" ht="30">
      <c r="A154" s="210" t="s">
        <v>619</v>
      </c>
      <c r="B154" s="133" t="s">
        <v>843</v>
      </c>
      <c r="C154" s="211">
        <v>0.05</v>
      </c>
      <c r="D154" s="156">
        <v>0.5</v>
      </c>
      <c r="E154" s="156">
        <v>0.5</v>
      </c>
      <c r="F154" s="156">
        <f t="shared" si="23"/>
        <v>1</v>
      </c>
      <c r="G154" s="156">
        <v>0.5</v>
      </c>
      <c r="H154" s="156"/>
      <c r="I154" s="156"/>
      <c r="J154" s="156"/>
      <c r="K154" s="211">
        <f t="shared" si="24"/>
        <v>2.5</v>
      </c>
    </row>
    <row r="155" spans="1:15" ht="45">
      <c r="A155" s="210" t="s">
        <v>620</v>
      </c>
      <c r="B155" s="133" t="s">
        <v>478</v>
      </c>
      <c r="C155" s="211">
        <v>0.05</v>
      </c>
      <c r="D155" s="156">
        <v>0.2</v>
      </c>
      <c r="E155" s="156">
        <v>0.2</v>
      </c>
      <c r="F155" s="156">
        <f t="shared" si="23"/>
        <v>1</v>
      </c>
      <c r="G155" s="156">
        <v>0.2</v>
      </c>
      <c r="H155" s="156">
        <v>0.2</v>
      </c>
      <c r="I155" s="156">
        <v>0.2</v>
      </c>
      <c r="J155" s="156">
        <v>0.2</v>
      </c>
      <c r="K155" s="211">
        <f t="shared" si="24"/>
        <v>2.1999999999999997</v>
      </c>
      <c r="M155" s="208">
        <f>SUM(D150:D155)</f>
        <v>1.56</v>
      </c>
      <c r="N155" s="208">
        <f>SUM(E150:E155)</f>
        <v>1.36</v>
      </c>
      <c r="O155" s="208">
        <f>+N155/M155</f>
        <v>0.87179487179487181</v>
      </c>
    </row>
    <row r="156" spans="1:15" ht="60">
      <c r="A156" s="210" t="s">
        <v>561</v>
      </c>
      <c r="B156" s="52" t="s">
        <v>842</v>
      </c>
      <c r="C156" s="211">
        <v>0.05</v>
      </c>
      <c r="D156" s="156">
        <f>100%*10%+20%*10%+20%*60%+20%*20%</f>
        <v>0.28000000000000003</v>
      </c>
      <c r="E156" s="156">
        <v>0.28000000000000003</v>
      </c>
      <c r="F156" s="156">
        <f t="shared" si="23"/>
        <v>1</v>
      </c>
      <c r="G156" s="156">
        <f>20%*10%+20%*60%+20%*20%</f>
        <v>0.18000000000000002</v>
      </c>
      <c r="H156" s="156">
        <f>20%*10%+20%*60%+20%*20%</f>
        <v>0.18000000000000002</v>
      </c>
      <c r="I156" s="156">
        <f>20%*10%+20%*60%+20%*20%</f>
        <v>0.18000000000000002</v>
      </c>
      <c r="J156" s="156">
        <f>20%*10%+20%*60%+20%*20%</f>
        <v>0.18000000000000002</v>
      </c>
      <c r="K156" s="211">
        <f t="shared" si="24"/>
        <v>2.2800000000000002</v>
      </c>
    </row>
    <row r="157" spans="1:15" hidden="1">
      <c r="A157" s="210"/>
      <c r="B157" s="133"/>
      <c r="C157" s="211"/>
      <c r="D157" s="156"/>
      <c r="E157" s="156"/>
      <c r="F157" s="156"/>
      <c r="G157" s="156"/>
      <c r="H157" s="156"/>
      <c r="I157" s="156"/>
      <c r="J157" s="156"/>
      <c r="K157" s="211">
        <f t="shared" si="24"/>
        <v>0</v>
      </c>
    </row>
    <row r="158" spans="1:15" hidden="1">
      <c r="A158" s="210"/>
      <c r="B158" s="133"/>
      <c r="C158" s="211"/>
      <c r="D158" s="156"/>
      <c r="E158" s="156"/>
      <c r="F158" s="156"/>
      <c r="G158" s="156"/>
      <c r="H158" s="156"/>
      <c r="I158" s="156"/>
      <c r="J158" s="156"/>
      <c r="K158" s="211">
        <f t="shared" si="24"/>
        <v>0</v>
      </c>
    </row>
    <row r="159" spans="1:15" hidden="1">
      <c r="A159" s="210"/>
      <c r="B159" s="133"/>
      <c r="C159" s="211"/>
      <c r="D159" s="156"/>
      <c r="E159" s="156"/>
      <c r="F159" s="156"/>
      <c r="G159" s="156"/>
      <c r="H159" s="156"/>
      <c r="I159" s="156"/>
      <c r="J159" s="156"/>
      <c r="K159" s="211">
        <f t="shared" si="24"/>
        <v>0</v>
      </c>
    </row>
    <row r="160" spans="1:15" hidden="1">
      <c r="A160" s="210"/>
      <c r="B160" s="133"/>
      <c r="C160" s="211"/>
      <c r="D160" s="156"/>
      <c r="E160" s="156"/>
      <c r="F160" s="156"/>
      <c r="G160" s="156"/>
      <c r="H160" s="156"/>
      <c r="I160" s="156"/>
      <c r="J160" s="156"/>
      <c r="K160" s="211">
        <f t="shared" si="24"/>
        <v>0</v>
      </c>
    </row>
    <row r="161" spans="1:11" hidden="1">
      <c r="A161" s="217"/>
      <c r="B161" s="52"/>
      <c r="C161" s="211"/>
      <c r="D161" s="218"/>
      <c r="E161" s="218"/>
      <c r="F161" s="156"/>
      <c r="G161" s="218"/>
      <c r="H161" s="218"/>
      <c r="I161" s="218"/>
      <c r="J161" s="218"/>
      <c r="K161" s="211"/>
    </row>
    <row r="162" spans="1:11" hidden="1">
      <c r="A162" s="217"/>
      <c r="B162" s="52"/>
      <c r="C162" s="211"/>
      <c r="D162" s="218"/>
      <c r="E162" s="218"/>
      <c r="F162" s="156"/>
      <c r="G162" s="218"/>
      <c r="H162" s="218"/>
      <c r="I162" s="218"/>
      <c r="J162" s="218"/>
      <c r="K162" s="211"/>
    </row>
    <row r="163" spans="1:11" hidden="1">
      <c r="A163" s="217"/>
      <c r="B163" s="133"/>
      <c r="C163" s="211"/>
      <c r="D163" s="218"/>
      <c r="E163" s="218"/>
      <c r="F163" s="156"/>
      <c r="G163" s="218"/>
      <c r="H163" s="218"/>
      <c r="I163" s="218"/>
      <c r="J163" s="218"/>
      <c r="K163" s="211">
        <f t="shared" si="24"/>
        <v>0</v>
      </c>
    </row>
    <row r="164" spans="1:11" hidden="1">
      <c r="A164" s="217"/>
      <c r="B164" s="133"/>
      <c r="C164" s="211"/>
      <c r="D164" s="218"/>
      <c r="E164" s="218"/>
      <c r="F164" s="156"/>
      <c r="G164" s="218"/>
      <c r="H164" s="218"/>
      <c r="I164" s="218"/>
      <c r="J164" s="217"/>
      <c r="K164" s="211">
        <f t="shared" si="24"/>
        <v>0</v>
      </c>
    </row>
    <row r="165" spans="1:11" hidden="1">
      <c r="A165" s="217"/>
      <c r="B165" s="133"/>
      <c r="C165" s="211"/>
      <c r="D165" s="218"/>
      <c r="E165" s="218"/>
      <c r="F165" s="156"/>
      <c r="G165" s="157"/>
      <c r="H165" s="157"/>
      <c r="I165" s="157"/>
      <c r="J165" s="157"/>
      <c r="K165" s="211">
        <f t="shared" si="24"/>
        <v>0</v>
      </c>
    </row>
    <row r="166" spans="1:11" hidden="1">
      <c r="A166" s="217"/>
      <c r="B166" s="133"/>
      <c r="C166" s="211"/>
      <c r="D166" s="218"/>
      <c r="E166" s="218"/>
      <c r="F166" s="156"/>
      <c r="G166" s="218"/>
      <c r="H166" s="218"/>
      <c r="I166" s="218"/>
      <c r="J166" s="218"/>
      <c r="K166" s="211">
        <f t="shared" si="24"/>
        <v>0</v>
      </c>
    </row>
    <row r="167" spans="1:11" hidden="1">
      <c r="A167" s="217"/>
      <c r="B167" s="136"/>
      <c r="C167" s="211"/>
      <c r="D167" s="157"/>
      <c r="E167" s="157"/>
      <c r="F167" s="156"/>
      <c r="G167" s="218"/>
      <c r="H167" s="157"/>
      <c r="I167" s="157"/>
      <c r="J167" s="157"/>
      <c r="K167" s="211">
        <f t="shared" si="24"/>
        <v>0</v>
      </c>
    </row>
    <row r="168" spans="1:11" hidden="1">
      <c r="A168" s="217"/>
      <c r="B168" s="136"/>
      <c r="C168" s="211"/>
      <c r="D168" s="157"/>
      <c r="E168" s="157"/>
      <c r="F168" s="156"/>
      <c r="G168" s="157"/>
      <c r="H168" s="157"/>
      <c r="I168" s="157"/>
      <c r="J168" s="157"/>
      <c r="K168" s="211">
        <f t="shared" si="24"/>
        <v>0</v>
      </c>
    </row>
    <row r="169" spans="1:11" hidden="1">
      <c r="A169" s="157"/>
      <c r="B169" s="136"/>
      <c r="C169" s="211"/>
      <c r="D169" s="157"/>
      <c r="E169" s="157"/>
      <c r="F169" s="156"/>
      <c r="G169" s="157"/>
      <c r="H169" s="157"/>
      <c r="I169" s="157"/>
      <c r="J169" s="157"/>
      <c r="K169" s="211">
        <f t="shared" si="24"/>
        <v>0</v>
      </c>
    </row>
    <row r="170" spans="1:11" hidden="1">
      <c r="A170" s="157"/>
      <c r="B170" s="136"/>
      <c r="C170" s="211"/>
      <c r="D170" s="157"/>
      <c r="E170" s="157"/>
      <c r="F170" s="156"/>
      <c r="G170" s="157"/>
      <c r="H170" s="157"/>
      <c r="I170" s="157"/>
      <c r="J170" s="219"/>
      <c r="K170" s="211">
        <f t="shared" si="24"/>
        <v>0</v>
      </c>
    </row>
    <row r="171" spans="1:11" ht="31.5" hidden="1" customHeight="1">
      <c r="A171" s="157" t="s">
        <v>1414</v>
      </c>
      <c r="B171" s="136" t="s">
        <v>1416</v>
      </c>
      <c r="C171" s="211">
        <v>0.1</v>
      </c>
      <c r="D171" s="156"/>
      <c r="E171" s="156"/>
      <c r="F171" s="156"/>
      <c r="G171" s="156">
        <v>1</v>
      </c>
      <c r="H171" s="156"/>
      <c r="I171" s="156"/>
      <c r="J171" s="156"/>
      <c r="K171" s="211">
        <f t="shared" si="24"/>
        <v>1</v>
      </c>
    </row>
    <row r="172" spans="1:11" ht="27.75" hidden="1" customHeight="1">
      <c r="A172" s="157" t="s">
        <v>1431</v>
      </c>
      <c r="B172" s="133" t="s">
        <v>1305</v>
      </c>
      <c r="C172" s="211">
        <v>0.1</v>
      </c>
      <c r="D172" s="156"/>
      <c r="E172" s="156"/>
      <c r="F172" s="156"/>
      <c r="G172" s="156">
        <v>1</v>
      </c>
      <c r="H172" s="156"/>
      <c r="I172" s="156"/>
      <c r="J172" s="156"/>
      <c r="K172" s="211">
        <f t="shared" si="24"/>
        <v>1</v>
      </c>
    </row>
    <row r="173" spans="1:11" ht="35.25" customHeight="1">
      <c r="A173" s="157" t="s">
        <v>1432</v>
      </c>
      <c r="B173" s="133" t="s">
        <v>1307</v>
      </c>
      <c r="C173" s="211">
        <v>0.05</v>
      </c>
      <c r="D173" s="156">
        <v>1</v>
      </c>
      <c r="E173" s="156">
        <v>1</v>
      </c>
      <c r="F173" s="156">
        <f t="shared" si="23"/>
        <v>1</v>
      </c>
      <c r="G173" s="156"/>
      <c r="H173" s="156"/>
      <c r="I173" s="156"/>
      <c r="J173" s="156"/>
      <c r="K173" s="211">
        <f t="shared" si="24"/>
        <v>3</v>
      </c>
    </row>
    <row r="174" spans="1:11" ht="33" hidden="1" customHeight="1">
      <c r="A174" s="157" t="s">
        <v>1433</v>
      </c>
      <c r="B174" s="133" t="s">
        <v>1308</v>
      </c>
      <c r="C174" s="211">
        <v>0.1</v>
      </c>
      <c r="D174" s="156"/>
      <c r="E174" s="156"/>
      <c r="F174" s="156"/>
      <c r="G174" s="156"/>
      <c r="H174" s="156">
        <f>40%*100%+60%*33%</f>
        <v>0.59800000000000009</v>
      </c>
      <c r="I174" s="156">
        <f>60%*33%</f>
        <v>0.19800000000000001</v>
      </c>
      <c r="J174" s="156">
        <f>60%*33%</f>
        <v>0.19800000000000001</v>
      </c>
      <c r="K174" s="211">
        <f t="shared" si="24"/>
        <v>0.99399999999999999</v>
      </c>
    </row>
    <row r="175" spans="1:11" ht="32.25" hidden="1" customHeight="1">
      <c r="A175" s="157" t="s">
        <v>1434</v>
      </c>
      <c r="B175" s="133" t="s">
        <v>1311</v>
      </c>
      <c r="C175" s="211">
        <v>0.1</v>
      </c>
      <c r="D175" s="156"/>
      <c r="E175" s="156"/>
      <c r="F175" s="156"/>
      <c r="G175" s="156"/>
      <c r="H175" s="156">
        <v>1</v>
      </c>
      <c r="I175" s="156"/>
      <c r="J175" s="156"/>
      <c r="K175" s="211">
        <f t="shared" si="24"/>
        <v>1</v>
      </c>
    </row>
    <row r="176" spans="1:11" ht="29.25" hidden="1" customHeight="1">
      <c r="A176" s="157" t="s">
        <v>1435</v>
      </c>
      <c r="B176" s="133" t="s">
        <v>1313</v>
      </c>
      <c r="C176" s="211">
        <v>0.05</v>
      </c>
      <c r="D176" s="156"/>
      <c r="E176" s="156"/>
      <c r="F176" s="156"/>
      <c r="G176" s="53">
        <v>0.25</v>
      </c>
      <c r="H176" s="53">
        <v>0.25</v>
      </c>
      <c r="I176" s="53">
        <v>0.25</v>
      </c>
      <c r="J176" s="53">
        <v>0.25</v>
      </c>
      <c r="K176" s="211">
        <f t="shared" si="24"/>
        <v>1</v>
      </c>
    </row>
    <row r="177" spans="1:11" ht="30" hidden="1" customHeight="1">
      <c r="A177" s="157" t="s">
        <v>1436</v>
      </c>
      <c r="B177" s="133" t="s">
        <v>1315</v>
      </c>
      <c r="C177" s="211">
        <v>0.05</v>
      </c>
      <c r="D177" s="156"/>
      <c r="E177" s="156"/>
      <c r="F177" s="156"/>
      <c r="G177" s="156"/>
      <c r="H177" s="156">
        <v>0.4</v>
      </c>
      <c r="I177" s="156">
        <v>0.3</v>
      </c>
      <c r="J177" s="156">
        <v>0.3</v>
      </c>
      <c r="K177" s="211">
        <f t="shared" si="24"/>
        <v>1</v>
      </c>
    </row>
    <row r="178" spans="1:11" ht="27.75" hidden="1" customHeight="1">
      <c r="A178" s="157"/>
      <c r="B178" s="133"/>
      <c r="C178" s="211"/>
      <c r="D178" s="157"/>
      <c r="E178" s="157"/>
      <c r="F178" s="157"/>
      <c r="G178" s="157"/>
      <c r="H178" s="157"/>
      <c r="I178" s="157"/>
      <c r="J178" s="219"/>
      <c r="K178" s="211"/>
    </row>
    <row r="179" spans="1:11" ht="27.75" hidden="1" customHeight="1">
      <c r="A179" s="157"/>
      <c r="B179" s="133"/>
      <c r="C179" s="211"/>
      <c r="D179" s="157"/>
      <c r="E179" s="157"/>
      <c r="F179" s="157"/>
      <c r="G179" s="157"/>
      <c r="H179" s="157"/>
      <c r="I179" s="157"/>
      <c r="J179" s="219"/>
      <c r="K179" s="211"/>
    </row>
    <row r="180" spans="1:11" hidden="1">
      <c r="A180" s="157"/>
      <c r="B180" s="136" t="s">
        <v>713</v>
      </c>
      <c r="C180" s="211">
        <f>SUM(C150:C177)</f>
        <v>1</v>
      </c>
      <c r="D180" s="396"/>
      <c r="E180" s="396"/>
      <c r="F180" s="396"/>
      <c r="G180" s="396"/>
      <c r="H180" s="396"/>
      <c r="I180" s="396"/>
      <c r="J180" s="396"/>
      <c r="K180" s="396"/>
    </row>
    <row r="181" spans="1:11">
      <c r="A181" s="371" t="s">
        <v>525</v>
      </c>
      <c r="B181" s="373"/>
      <c r="C181" s="211"/>
      <c r="D181" s="207">
        <f>+D150*$C$150+D151*$C$151+D152*$C$152+D153*$C$153+D154*$C$154+D155*$C$155+D156*$C$156+D157*$C$157+D158*$C$158+D159*$C$159+D160*$C$160+D171*$C$171+D172*$C$172+D173*$C$173+D174*$C$174+D175*$C$175+D176*$C$176+D177*$C$177</f>
        <v>0.16500000000000001</v>
      </c>
      <c r="E181" s="207">
        <f t="shared" ref="E181" si="26">+E150*$C$150+E151*$C$151+E152*$C$152+E153*$C$153+E154*$C$154+E155*$C$155+E156*$C$156+E157*$C$157+E158*$C$158+E159*$C$159+E160*$C$160+E171*$C$171+E172*$C$172+E173*$C$173+E174*$C$174+E175*$C$175+E176*$C$176+E177*$C$177</f>
        <v>0.15500000000000003</v>
      </c>
      <c r="F181" s="207">
        <f t="shared" ref="F181" si="27">+E181/D181</f>
        <v>0.93939393939393956</v>
      </c>
      <c r="G181" s="207">
        <f t="shared" ref="G181:J181" si="28">+G150*$C$150+G151*$C$151+G152*$C$152+G153*$C$153+G154*$C$154+G155*$C$155+G156*$C$156+G157*$C$157+G158*$C$158+G159*$C$159+G160*$C$160+G171*$C$171+G172*$C$172+G173*$C$173+G174*$C$174+G175*$C$175+G176*$C$176+G177*$C$177</f>
        <v>0.31500000000000006</v>
      </c>
      <c r="H181" s="207">
        <f t="shared" si="28"/>
        <v>0.26980000000000004</v>
      </c>
      <c r="I181" s="207">
        <f t="shared" si="28"/>
        <v>0.12480000000000001</v>
      </c>
      <c r="J181" s="207">
        <f t="shared" si="28"/>
        <v>0.12480000000000001</v>
      </c>
      <c r="K181" s="207">
        <f t="shared" si="24"/>
        <v>2.0937939393939398</v>
      </c>
    </row>
    <row r="182" spans="1:11">
      <c r="B182" s="209"/>
    </row>
    <row r="183" spans="1:11">
      <c r="B183" s="209"/>
    </row>
    <row r="184" spans="1:11" ht="18.75">
      <c r="A184" s="355" t="s">
        <v>706</v>
      </c>
      <c r="B184" s="355"/>
      <c r="C184" s="355"/>
      <c r="D184" s="355"/>
      <c r="E184" s="355"/>
      <c r="F184" s="355"/>
      <c r="G184" s="355"/>
      <c r="H184" s="355"/>
      <c r="I184" s="355"/>
      <c r="J184" s="355"/>
      <c r="K184" s="355"/>
    </row>
    <row r="185" spans="1:11" ht="18.75">
      <c r="A185" s="355" t="s">
        <v>710</v>
      </c>
      <c r="B185" s="355"/>
      <c r="C185" s="355"/>
      <c r="D185" s="355"/>
      <c r="E185" s="355"/>
      <c r="F185" s="355"/>
      <c r="G185" s="355"/>
      <c r="H185" s="355"/>
      <c r="I185" s="355"/>
      <c r="J185" s="355"/>
      <c r="K185" s="355"/>
    </row>
    <row r="186" spans="1:11" ht="18.75">
      <c r="A186" s="355" t="s">
        <v>522</v>
      </c>
      <c r="B186" s="355"/>
      <c r="C186" s="355"/>
      <c r="D186" s="355"/>
      <c r="E186" s="355"/>
      <c r="F186" s="355"/>
      <c r="G186" s="355"/>
      <c r="H186" s="355"/>
      <c r="I186" s="355"/>
      <c r="J186" s="355"/>
      <c r="K186" s="355"/>
    </row>
    <row r="187" spans="1:11" ht="18.75">
      <c r="A187" s="355" t="s">
        <v>532</v>
      </c>
      <c r="B187" s="355"/>
      <c r="C187" s="355"/>
      <c r="D187" s="355"/>
      <c r="E187" s="355"/>
      <c r="F187" s="355"/>
      <c r="G187" s="355"/>
      <c r="H187" s="355"/>
      <c r="I187" s="355"/>
      <c r="J187" s="355"/>
      <c r="K187" s="355"/>
    </row>
    <row r="188" spans="1:11" ht="18.75">
      <c r="A188" s="355" t="s">
        <v>1857</v>
      </c>
      <c r="B188" s="355"/>
      <c r="C188" s="355"/>
      <c r="D188" s="355"/>
      <c r="E188" s="355"/>
      <c r="F188" s="355"/>
      <c r="G188" s="355"/>
      <c r="H188" s="355"/>
      <c r="I188" s="355"/>
      <c r="J188" s="355"/>
      <c r="K188" s="355"/>
    </row>
    <row r="189" spans="1:11">
      <c r="B189" s="209"/>
      <c r="H189" s="220"/>
      <c r="I189" s="220"/>
    </row>
    <row r="190" spans="1:11">
      <c r="A190" s="369" t="s">
        <v>714</v>
      </c>
      <c r="B190" s="369" t="s">
        <v>715</v>
      </c>
      <c r="C190" s="369" t="s">
        <v>712</v>
      </c>
      <c r="D190" s="371" t="s">
        <v>527</v>
      </c>
      <c r="E190" s="372"/>
      <c r="F190" s="372"/>
      <c r="G190" s="372"/>
      <c r="H190" s="372"/>
      <c r="I190" s="372"/>
      <c r="J190" s="372"/>
      <c r="K190" s="373"/>
    </row>
    <row r="191" spans="1:11">
      <c r="A191" s="370" t="s">
        <v>714</v>
      </c>
      <c r="B191" s="370"/>
      <c r="C191" s="370" t="s">
        <v>712</v>
      </c>
      <c r="D191" s="205">
        <v>2012</v>
      </c>
      <c r="E191" s="205" t="s">
        <v>1800</v>
      </c>
      <c r="F191" s="205" t="s">
        <v>1801</v>
      </c>
      <c r="G191" s="205">
        <v>2013</v>
      </c>
      <c r="H191" s="205">
        <v>2014</v>
      </c>
      <c r="I191" s="205">
        <v>2015</v>
      </c>
      <c r="J191" s="205">
        <v>2016</v>
      </c>
      <c r="K191" s="205" t="s">
        <v>713</v>
      </c>
    </row>
    <row r="192" spans="1:11" ht="30">
      <c r="A192" s="210" t="s">
        <v>430</v>
      </c>
      <c r="B192" s="136" t="s">
        <v>471</v>
      </c>
      <c r="C192" s="211">
        <v>0.5</v>
      </c>
      <c r="D192" s="156">
        <f>20%*30%+20%*30%+20%*30%+20%*10%</f>
        <v>0.2</v>
      </c>
      <c r="E192" s="156">
        <v>0.2</v>
      </c>
      <c r="F192" s="156">
        <f t="shared" ref="F192:F193" si="29">+E192/D192</f>
        <v>1</v>
      </c>
      <c r="G192" s="156">
        <f>20%*30%+20%*30%+20%*30%+20%*10%</f>
        <v>0.2</v>
      </c>
      <c r="H192" s="156">
        <f>20%*30%+20%*30%+20%*30%+20%*10%</f>
        <v>0.2</v>
      </c>
      <c r="I192" s="156">
        <f>20%*30%+20%*30%+20%*30%+20%*10%</f>
        <v>0.2</v>
      </c>
      <c r="J192" s="156">
        <f>20%*30%+20%*30%+20%*30%+20%*10%</f>
        <v>0.2</v>
      </c>
      <c r="K192" s="211">
        <f>SUM(D192:J192)</f>
        <v>2.1999999999999997</v>
      </c>
    </row>
    <row r="193" spans="1:11" ht="29.25" customHeight="1">
      <c r="A193" s="210" t="s">
        <v>431</v>
      </c>
      <c r="B193" s="136" t="s">
        <v>429</v>
      </c>
      <c r="C193" s="211">
        <v>0.25</v>
      </c>
      <c r="D193" s="156">
        <v>0.5</v>
      </c>
      <c r="E193" s="156">
        <f>50%*40%</f>
        <v>0.2</v>
      </c>
      <c r="F193" s="156">
        <f t="shared" si="29"/>
        <v>0.4</v>
      </c>
      <c r="G193" s="156">
        <v>0.25</v>
      </c>
      <c r="H193" s="156">
        <v>0.25</v>
      </c>
      <c r="I193" s="156"/>
      <c r="J193" s="156"/>
      <c r="K193" s="211">
        <f t="shared" ref="K193:K210" si="30">SUM(D193:J193)</f>
        <v>1.6</v>
      </c>
    </row>
    <row r="194" spans="1:11" ht="30" hidden="1">
      <c r="A194" s="210" t="s">
        <v>621</v>
      </c>
      <c r="B194" s="136" t="s">
        <v>519</v>
      </c>
      <c r="C194" s="211">
        <v>0.25</v>
      </c>
      <c r="D194" s="156"/>
      <c r="E194" s="156"/>
      <c r="F194" s="156"/>
      <c r="G194" s="156"/>
      <c r="H194" s="156"/>
      <c r="I194" s="156">
        <v>0.5</v>
      </c>
      <c r="J194" s="156">
        <v>0.5</v>
      </c>
      <c r="K194" s="211">
        <f t="shared" si="30"/>
        <v>1</v>
      </c>
    </row>
    <row r="195" spans="1:11" hidden="1">
      <c r="A195" s="210"/>
      <c r="B195" s="136"/>
      <c r="C195" s="211"/>
      <c r="D195" s="156"/>
      <c r="E195" s="156"/>
      <c r="F195" s="156"/>
      <c r="G195" s="156"/>
      <c r="H195" s="156"/>
      <c r="I195" s="156"/>
      <c r="J195" s="156"/>
      <c r="K195" s="211">
        <f t="shared" si="30"/>
        <v>0</v>
      </c>
    </row>
    <row r="196" spans="1:11" hidden="1">
      <c r="A196" s="210"/>
      <c r="B196" s="136"/>
      <c r="C196" s="211"/>
      <c r="D196" s="156"/>
      <c r="E196" s="156"/>
      <c r="F196" s="156"/>
      <c r="G196" s="156"/>
      <c r="H196" s="156"/>
      <c r="I196" s="156"/>
      <c r="J196" s="156"/>
      <c r="K196" s="211">
        <f t="shared" si="30"/>
        <v>0</v>
      </c>
    </row>
    <row r="197" spans="1:11" hidden="1">
      <c r="A197" s="210"/>
      <c r="B197" s="136"/>
      <c r="C197" s="211"/>
      <c r="D197" s="156"/>
      <c r="E197" s="156"/>
      <c r="F197" s="156"/>
      <c r="G197" s="156"/>
      <c r="H197" s="156"/>
      <c r="I197" s="156"/>
      <c r="J197" s="156"/>
      <c r="K197" s="211">
        <f t="shared" si="30"/>
        <v>0</v>
      </c>
    </row>
    <row r="198" spans="1:11" hidden="1">
      <c r="A198" s="210"/>
      <c r="B198" s="136"/>
      <c r="C198" s="211"/>
      <c r="D198" s="156"/>
      <c r="E198" s="156"/>
      <c r="F198" s="156"/>
      <c r="G198" s="156"/>
      <c r="H198" s="156"/>
      <c r="I198" s="156"/>
      <c r="J198" s="156"/>
      <c r="K198" s="211">
        <f t="shared" si="30"/>
        <v>0</v>
      </c>
    </row>
    <row r="199" spans="1:11" hidden="1">
      <c r="A199" s="210"/>
      <c r="B199" s="136"/>
      <c r="C199" s="211"/>
      <c r="D199" s="156"/>
      <c r="E199" s="156"/>
      <c r="F199" s="156"/>
      <c r="G199" s="156"/>
      <c r="H199" s="156"/>
      <c r="I199" s="156"/>
      <c r="J199" s="156"/>
      <c r="K199" s="211">
        <f t="shared" si="30"/>
        <v>0</v>
      </c>
    </row>
    <row r="200" spans="1:11" hidden="1">
      <c r="A200" s="210"/>
      <c r="B200" s="136"/>
      <c r="C200" s="211"/>
      <c r="D200" s="156"/>
      <c r="E200" s="156"/>
      <c r="F200" s="156"/>
      <c r="G200" s="156"/>
      <c r="H200" s="156"/>
      <c r="I200" s="156"/>
      <c r="J200" s="156"/>
      <c r="K200" s="211">
        <f t="shared" si="30"/>
        <v>0</v>
      </c>
    </row>
    <row r="201" spans="1:11" hidden="1">
      <c r="A201" s="210"/>
      <c r="B201" s="136"/>
      <c r="C201" s="211"/>
      <c r="D201" s="156"/>
      <c r="E201" s="156"/>
      <c r="F201" s="156"/>
      <c r="G201" s="156"/>
      <c r="H201" s="156"/>
      <c r="I201" s="156"/>
      <c r="J201" s="156"/>
      <c r="K201" s="211">
        <f t="shared" si="30"/>
        <v>0</v>
      </c>
    </row>
    <row r="202" spans="1:11" hidden="1">
      <c r="A202" s="210"/>
      <c r="B202" s="136"/>
      <c r="C202" s="211"/>
      <c r="D202" s="156"/>
      <c r="E202" s="156"/>
      <c r="F202" s="156"/>
      <c r="G202" s="156"/>
      <c r="H202" s="156"/>
      <c r="I202" s="156"/>
      <c r="J202" s="156"/>
      <c r="K202" s="211">
        <f t="shared" si="30"/>
        <v>0</v>
      </c>
    </row>
    <row r="203" spans="1:11" hidden="1">
      <c r="A203" s="210"/>
      <c r="B203" s="136"/>
      <c r="C203" s="211"/>
      <c r="D203" s="156"/>
      <c r="E203" s="156"/>
      <c r="F203" s="156"/>
      <c r="G203" s="156"/>
      <c r="H203" s="156"/>
      <c r="I203" s="156"/>
      <c r="J203" s="156"/>
      <c r="K203" s="211">
        <f t="shared" si="30"/>
        <v>0</v>
      </c>
    </row>
    <row r="204" spans="1:11" hidden="1">
      <c r="A204" s="210"/>
      <c r="B204" s="136"/>
      <c r="C204" s="211"/>
      <c r="D204" s="156"/>
      <c r="E204" s="156"/>
      <c r="F204" s="156"/>
      <c r="G204" s="156"/>
      <c r="H204" s="156"/>
      <c r="I204" s="156"/>
      <c r="J204" s="156"/>
      <c r="K204" s="211">
        <f t="shared" si="30"/>
        <v>0</v>
      </c>
    </row>
    <row r="205" spans="1:11" hidden="1">
      <c r="A205" s="210"/>
      <c r="B205" s="136"/>
      <c r="C205" s="211"/>
      <c r="D205" s="156"/>
      <c r="E205" s="156"/>
      <c r="F205" s="156"/>
      <c r="G205" s="156"/>
      <c r="H205" s="156"/>
      <c r="I205" s="156"/>
      <c r="J205" s="156"/>
      <c r="K205" s="211">
        <f t="shared" si="30"/>
        <v>0</v>
      </c>
    </row>
    <row r="206" spans="1:11" hidden="1">
      <c r="A206" s="210"/>
      <c r="B206" s="136"/>
      <c r="C206" s="211"/>
      <c r="D206" s="156"/>
      <c r="E206" s="156"/>
      <c r="F206" s="156"/>
      <c r="G206" s="156"/>
      <c r="H206" s="156"/>
      <c r="I206" s="156"/>
      <c r="J206" s="156"/>
      <c r="K206" s="211">
        <f t="shared" si="30"/>
        <v>0</v>
      </c>
    </row>
    <row r="207" spans="1:11" hidden="1">
      <c r="A207" s="217"/>
      <c r="B207" s="136"/>
      <c r="C207" s="211"/>
      <c r="D207" s="156"/>
      <c r="E207" s="156"/>
      <c r="F207" s="156"/>
      <c r="G207" s="156"/>
      <c r="H207" s="156"/>
      <c r="I207" s="156"/>
      <c r="J207" s="156"/>
      <c r="K207" s="211">
        <f t="shared" si="30"/>
        <v>0</v>
      </c>
    </row>
    <row r="208" spans="1:11" hidden="1">
      <c r="A208" s="217"/>
      <c r="B208" s="136"/>
      <c r="C208" s="211"/>
      <c r="D208" s="156"/>
      <c r="E208" s="156"/>
      <c r="F208" s="156"/>
      <c r="G208" s="156"/>
      <c r="H208" s="156"/>
      <c r="I208" s="156"/>
      <c r="J208" s="156"/>
      <c r="K208" s="211">
        <f t="shared" si="30"/>
        <v>0</v>
      </c>
    </row>
    <row r="209" spans="1:11" hidden="1">
      <c r="A209" s="217"/>
      <c r="B209" s="136" t="s">
        <v>713</v>
      </c>
      <c r="C209" s="211">
        <f>SUM(C192:C208)</f>
        <v>1</v>
      </c>
      <c r="D209" s="382"/>
      <c r="E209" s="383"/>
      <c r="F209" s="383"/>
      <c r="G209" s="384"/>
      <c r="H209" s="384"/>
      <c r="I209" s="384"/>
      <c r="J209" s="384"/>
      <c r="K209" s="385"/>
    </row>
    <row r="210" spans="1:11">
      <c r="A210" s="371" t="s">
        <v>525</v>
      </c>
      <c r="B210" s="373"/>
      <c r="C210" s="211"/>
      <c r="D210" s="207">
        <f>+(D192*$C$192)+(D193*$C$193)+(D194*$C$194)+(D195*$C$195)+(D196*$C$196)+(D197*$C$197)+(D198*$C$198)+(D199*$C$199)+(D200*$C$200)+(D201*$C$201)+(D202*$C$202)+(D203*$C$203)+(D204*$C$204)+(D205*$C$205)+(D206*$C$206)</f>
        <v>0.22500000000000001</v>
      </c>
      <c r="E210" s="207">
        <f t="shared" ref="E210" si="31">+(E192*$C$192)+(E193*$C$193)+(E194*$C$194)+(E195*$C$195)+(E196*$C$196)+(E197*$C$197)+(E198*$C$198)+(E199*$C$199)+(E200*$C$200)+(E201*$C$201)+(E202*$C$202)+(E203*$C$203)+(E204*$C$204)+(E205*$C$205)+(E206*$C$206)</f>
        <v>0.15000000000000002</v>
      </c>
      <c r="F210" s="207">
        <f>+E210/D210</f>
        <v>0.66666666666666674</v>
      </c>
      <c r="G210" s="207">
        <f>+(G192*$C$192)+(G193*$C$193)+(G194*$C$194)+(G195*$C$195)+(G196*$C$196)+(G197*$C$197)+(G198*$C$198)+(G199*$C$199)+(G200*$C$200)+(G201*$C$201)+(G202*$C$202)+(G203*$C$203)+(G204*$C$204)+(G205*$C$205)</f>
        <v>0.16250000000000001</v>
      </c>
      <c r="H210" s="207">
        <f>+(H192*$C$192)+(H193*$C$193)+(H194*$C$194)+(H195*$C$195)+(H196*$C$196)+(H197*$C$197)+(H198*$C$198)+(H199*$C$199)+(H200*$C$200)+(H201*$C$201)+(H202*$C$202)+(H203*$C$203)+(H204*$C$204)+(H205*$C$205)</f>
        <v>0.16250000000000001</v>
      </c>
      <c r="I210" s="207">
        <f>+(I192*$C$192)+(I193*$C$193)+(I194*$C$194)+(I195*$C$195)+(I196*$C$196)+(I197*$C$197)+(I198*$C$198)+(I199*$C$199)+(I200*$C$200)+(I201*$C$201)+(I202*$C$202)+(I203*$C$203)+(I204*$C$204)+(I205*$C$205)</f>
        <v>0.22500000000000001</v>
      </c>
      <c r="J210" s="207">
        <f>+(J192*$C$192)+(J193*$C$193)+(J194*$C$194)+(J195*$C$195)+(J196*$C$196)+(J197*$C$197)+(J198*$C$198)+(J199*$C$199)+(J200*$C$200)+(J201*$C$201)+(J202*$C$202)+(J203*$C$203)+(J204*$C$204)+(J205*$C$205)</f>
        <v>0.22500000000000001</v>
      </c>
      <c r="K210" s="207">
        <f t="shared" si="30"/>
        <v>1.8166666666666671</v>
      </c>
    </row>
    <row r="211" spans="1:11">
      <c r="B211" s="209"/>
    </row>
    <row r="212" spans="1:11">
      <c r="B212" s="209"/>
    </row>
    <row r="215" spans="1:11" ht="18.75">
      <c r="A215" s="355" t="s">
        <v>706</v>
      </c>
      <c r="B215" s="355"/>
      <c r="C215" s="355"/>
      <c r="D215" s="355"/>
      <c r="E215" s="355"/>
      <c r="F215" s="355"/>
      <c r="G215" s="355"/>
      <c r="H215" s="355"/>
      <c r="I215" s="355"/>
      <c r="J215" s="355"/>
      <c r="K215" s="355"/>
    </row>
    <row r="216" spans="1:11" ht="18.75">
      <c r="A216" s="355" t="s">
        <v>710</v>
      </c>
      <c r="B216" s="355"/>
      <c r="C216" s="355"/>
      <c r="D216" s="355"/>
      <c r="E216" s="355"/>
      <c r="F216" s="355"/>
      <c r="G216" s="355"/>
      <c r="H216" s="355"/>
      <c r="I216" s="355"/>
      <c r="J216" s="355"/>
      <c r="K216" s="355"/>
    </row>
    <row r="217" spans="1:11" ht="18.75">
      <c r="A217" s="355" t="s">
        <v>522</v>
      </c>
      <c r="B217" s="355"/>
      <c r="C217" s="355"/>
      <c r="D217" s="355"/>
      <c r="E217" s="355"/>
      <c r="F217" s="355"/>
      <c r="G217" s="355"/>
      <c r="H217" s="355"/>
      <c r="I217" s="355"/>
      <c r="J217" s="355"/>
      <c r="K217" s="355"/>
    </row>
    <row r="218" spans="1:11" ht="18.75">
      <c r="A218" s="355" t="s">
        <v>526</v>
      </c>
      <c r="B218" s="355"/>
      <c r="C218" s="355"/>
      <c r="D218" s="355"/>
      <c r="E218" s="355"/>
      <c r="F218" s="355"/>
      <c r="G218" s="355"/>
      <c r="H218" s="355"/>
      <c r="I218" s="355"/>
      <c r="J218" s="355"/>
      <c r="K218" s="355"/>
    </row>
    <row r="219" spans="1:11" ht="18.75">
      <c r="A219" s="355" t="s">
        <v>1857</v>
      </c>
      <c r="B219" s="355"/>
      <c r="C219" s="355"/>
      <c r="D219" s="355"/>
      <c r="E219" s="355"/>
      <c r="F219" s="355"/>
      <c r="G219" s="355"/>
      <c r="H219" s="355"/>
      <c r="I219" s="355"/>
      <c r="J219" s="355"/>
      <c r="K219" s="355"/>
    </row>
    <row r="220" spans="1:11" ht="18.75">
      <c r="A220" s="221"/>
    </row>
    <row r="221" spans="1:11">
      <c r="A221" s="369" t="s">
        <v>714</v>
      </c>
      <c r="B221" s="369" t="s">
        <v>715</v>
      </c>
      <c r="C221" s="369" t="s">
        <v>712</v>
      </c>
      <c r="D221" s="371" t="s">
        <v>527</v>
      </c>
      <c r="E221" s="372"/>
      <c r="F221" s="372"/>
      <c r="G221" s="372"/>
      <c r="H221" s="372"/>
      <c r="I221" s="372"/>
      <c r="J221" s="372"/>
      <c r="K221" s="373"/>
    </row>
    <row r="222" spans="1:11">
      <c r="A222" s="370" t="s">
        <v>714</v>
      </c>
      <c r="B222" s="370"/>
      <c r="C222" s="370" t="s">
        <v>712</v>
      </c>
      <c r="D222" s="205">
        <v>2012</v>
      </c>
      <c r="E222" s="205" t="s">
        <v>1800</v>
      </c>
      <c r="F222" s="205" t="s">
        <v>1801</v>
      </c>
      <c r="G222" s="205">
        <v>2013</v>
      </c>
      <c r="H222" s="205">
        <v>2014</v>
      </c>
      <c r="I222" s="205">
        <v>2015</v>
      </c>
      <c r="J222" s="205">
        <v>2016</v>
      </c>
      <c r="K222" s="205" t="s">
        <v>713</v>
      </c>
    </row>
    <row r="223" spans="1:11" ht="45">
      <c r="A223" s="210" t="s">
        <v>849</v>
      </c>
      <c r="B223" s="136" t="s">
        <v>834</v>
      </c>
      <c r="C223" s="207">
        <v>0.1</v>
      </c>
      <c r="D223" s="156">
        <f>20%*30%+20%*70%</f>
        <v>0.19999999999999998</v>
      </c>
      <c r="E223" s="156">
        <v>0.2</v>
      </c>
      <c r="F223" s="156">
        <f t="shared" ref="F223:F232" si="32">+E223/D223</f>
        <v>1.0000000000000002</v>
      </c>
      <c r="G223" s="156">
        <f>20%*30%+20%*70%</f>
        <v>0.19999999999999998</v>
      </c>
      <c r="H223" s="156">
        <f>20%*30%+20%*70%</f>
        <v>0.19999999999999998</v>
      </c>
      <c r="I223" s="156">
        <f>20%*30%+20%*70%</f>
        <v>0.19999999999999998</v>
      </c>
      <c r="J223" s="156">
        <f>20%*30%+20%*70%</f>
        <v>0.19999999999999998</v>
      </c>
      <c r="K223" s="211">
        <f>SUM(D223:J223)</f>
        <v>2.2000000000000006</v>
      </c>
    </row>
    <row r="224" spans="1:11">
      <c r="A224" s="210" t="s">
        <v>850</v>
      </c>
      <c r="B224" s="136" t="s">
        <v>410</v>
      </c>
      <c r="C224" s="207">
        <v>0.1</v>
      </c>
      <c r="D224" s="156">
        <f>100%*50%</f>
        <v>0.5</v>
      </c>
      <c r="E224" s="156">
        <v>0.5</v>
      </c>
      <c r="F224" s="156">
        <f t="shared" si="32"/>
        <v>1</v>
      </c>
      <c r="G224" s="156"/>
      <c r="H224" s="156">
        <f>100%*50%</f>
        <v>0.5</v>
      </c>
      <c r="I224" s="156"/>
      <c r="J224" s="156"/>
      <c r="K224" s="211">
        <f t="shared" ref="K224:K234" si="33">SUM(D224:J224)</f>
        <v>2.5</v>
      </c>
    </row>
    <row r="225" spans="1:16" ht="30">
      <c r="A225" s="210" t="s">
        <v>562</v>
      </c>
      <c r="B225" s="136" t="s">
        <v>412</v>
      </c>
      <c r="C225" s="207">
        <v>0.1</v>
      </c>
      <c r="D225" s="156">
        <v>0.5</v>
      </c>
      <c r="E225" s="156">
        <v>0.5</v>
      </c>
      <c r="F225" s="156">
        <f t="shared" si="32"/>
        <v>1</v>
      </c>
      <c r="G225" s="156">
        <v>0.5</v>
      </c>
      <c r="H225" s="156"/>
      <c r="I225" s="156"/>
      <c r="J225" s="156"/>
      <c r="K225" s="211">
        <f t="shared" si="33"/>
        <v>2.5</v>
      </c>
    </row>
    <row r="226" spans="1:16" ht="60">
      <c r="A226" s="210" t="s">
        <v>563</v>
      </c>
      <c r="B226" s="136" t="s">
        <v>528</v>
      </c>
      <c r="C226" s="207">
        <v>0.1</v>
      </c>
      <c r="D226" s="156">
        <f>100%*25%</f>
        <v>0.25</v>
      </c>
      <c r="E226" s="156">
        <v>0.25</v>
      </c>
      <c r="F226" s="156">
        <f t="shared" si="32"/>
        <v>1</v>
      </c>
      <c r="G226" s="156">
        <f>25%*75%</f>
        <v>0.1875</v>
      </c>
      <c r="H226" s="156">
        <f>25%*75%</f>
        <v>0.1875</v>
      </c>
      <c r="I226" s="156">
        <f>25%*75%</f>
        <v>0.1875</v>
      </c>
      <c r="J226" s="156">
        <f>25%*75%</f>
        <v>0.1875</v>
      </c>
      <c r="K226" s="211">
        <f t="shared" si="33"/>
        <v>2.25</v>
      </c>
      <c r="M226" s="208">
        <f>SUM(D223:D226)</f>
        <v>1.45</v>
      </c>
      <c r="N226" s="208">
        <f>SUM(E223:E226)</f>
        <v>1.45</v>
      </c>
      <c r="O226" s="208">
        <f>+N226/M226</f>
        <v>1</v>
      </c>
      <c r="P226" s="31" t="s">
        <v>1860</v>
      </c>
    </row>
    <row r="227" spans="1:16" ht="30">
      <c r="A227" s="210" t="s">
        <v>851</v>
      </c>
      <c r="B227" s="136" t="s">
        <v>414</v>
      </c>
      <c r="C227" s="207">
        <v>0.1</v>
      </c>
      <c r="D227" s="156">
        <v>0.2</v>
      </c>
      <c r="E227" s="156">
        <v>0.2</v>
      </c>
      <c r="F227" s="156">
        <f t="shared" si="32"/>
        <v>1</v>
      </c>
      <c r="G227" s="156">
        <v>0.2</v>
      </c>
      <c r="H227" s="156">
        <v>0.2</v>
      </c>
      <c r="I227" s="156">
        <v>0.2</v>
      </c>
      <c r="J227" s="156">
        <v>0.2</v>
      </c>
      <c r="K227" s="211">
        <f t="shared" si="33"/>
        <v>2.1999999999999997</v>
      </c>
    </row>
    <row r="228" spans="1:16" ht="30">
      <c r="A228" s="210" t="s">
        <v>564</v>
      </c>
      <c r="B228" s="136" t="s">
        <v>415</v>
      </c>
      <c r="C228" s="207">
        <v>0.1</v>
      </c>
      <c r="D228" s="156">
        <v>0.2</v>
      </c>
      <c r="E228" s="156">
        <v>0.2</v>
      </c>
      <c r="F228" s="156">
        <f t="shared" si="32"/>
        <v>1</v>
      </c>
      <c r="G228" s="156">
        <v>0.2</v>
      </c>
      <c r="H228" s="156">
        <v>0.2</v>
      </c>
      <c r="I228" s="156">
        <v>0.2</v>
      </c>
      <c r="J228" s="156">
        <v>0.2</v>
      </c>
      <c r="K228" s="211">
        <f t="shared" si="33"/>
        <v>2.1999999999999997</v>
      </c>
      <c r="M228" s="208">
        <f>SUM(D227:D228)</f>
        <v>0.4</v>
      </c>
      <c r="N228" s="208">
        <f>SUM(E227:E228)</f>
        <v>0.4</v>
      </c>
      <c r="O228" s="208">
        <f>+N228/M228</f>
        <v>1</v>
      </c>
      <c r="P228" s="31" t="s">
        <v>1860</v>
      </c>
    </row>
    <row r="229" spans="1:16" ht="30">
      <c r="A229" s="210" t="s">
        <v>622</v>
      </c>
      <c r="B229" s="136" t="s">
        <v>939</v>
      </c>
      <c r="C229" s="207">
        <v>0.1</v>
      </c>
      <c r="D229" s="156">
        <f>100%*25%</f>
        <v>0.25</v>
      </c>
      <c r="E229" s="156">
        <v>0.25</v>
      </c>
      <c r="F229" s="156">
        <f t="shared" si="32"/>
        <v>1</v>
      </c>
      <c r="G229" s="156">
        <f>25%*75%</f>
        <v>0.1875</v>
      </c>
      <c r="H229" s="156">
        <f>25%*75%</f>
        <v>0.1875</v>
      </c>
      <c r="I229" s="156">
        <f>25%*75%</f>
        <v>0.1875</v>
      </c>
      <c r="J229" s="156">
        <f>25%*75%</f>
        <v>0.1875</v>
      </c>
      <c r="K229" s="211">
        <f t="shared" si="33"/>
        <v>2.25</v>
      </c>
    </row>
    <row r="230" spans="1:16" ht="30">
      <c r="A230" s="210" t="s">
        <v>623</v>
      </c>
      <c r="B230" s="136" t="s">
        <v>417</v>
      </c>
      <c r="C230" s="207">
        <v>0.1</v>
      </c>
      <c r="D230" s="156">
        <f>20%*25%+100%*25%</f>
        <v>0.3</v>
      </c>
      <c r="E230" s="156">
        <f>20%*25%</f>
        <v>0.05</v>
      </c>
      <c r="F230" s="156">
        <f t="shared" si="32"/>
        <v>0.16666666666666669</v>
      </c>
      <c r="G230" s="156">
        <f>20%*25%+25%*50%</f>
        <v>0.17499999999999999</v>
      </c>
      <c r="H230" s="156">
        <f>20%*25%+25%*50%</f>
        <v>0.17499999999999999</v>
      </c>
      <c r="I230" s="156">
        <f>20%*25%+25%*50%</f>
        <v>0.17499999999999999</v>
      </c>
      <c r="J230" s="156">
        <f>20%*25%+25%*50%</f>
        <v>0.17499999999999999</v>
      </c>
      <c r="K230" s="211">
        <f t="shared" si="33"/>
        <v>1.2166666666666668</v>
      </c>
      <c r="M230" s="208">
        <f>SUM(D229:D230)</f>
        <v>0.55000000000000004</v>
      </c>
      <c r="N230" s="208">
        <f>SUM(E229:E230)</f>
        <v>0.3</v>
      </c>
      <c r="O230" s="208">
        <f>+N230/M230</f>
        <v>0.54545454545454541</v>
      </c>
      <c r="P230" s="31" t="s">
        <v>1860</v>
      </c>
    </row>
    <row r="231" spans="1:16">
      <c r="A231" s="210" t="s">
        <v>1456</v>
      </c>
      <c r="B231" s="133" t="s">
        <v>1320</v>
      </c>
      <c r="C231" s="211">
        <v>0.05</v>
      </c>
      <c r="D231" s="156"/>
      <c r="E231" s="156"/>
      <c r="F231" s="156"/>
      <c r="G231" s="156">
        <f>30%*100%+10%*100%</f>
        <v>0.4</v>
      </c>
      <c r="H231" s="156">
        <f>50%*33%+10%*33%</f>
        <v>0.19800000000000001</v>
      </c>
      <c r="I231" s="156">
        <f t="shared" ref="I231:J231" si="34">50%*33%+10%*33%</f>
        <v>0.19800000000000001</v>
      </c>
      <c r="J231" s="156">
        <f t="shared" si="34"/>
        <v>0.19800000000000001</v>
      </c>
      <c r="K231" s="211">
        <f t="shared" si="33"/>
        <v>0.99399999999999999</v>
      </c>
    </row>
    <row r="232" spans="1:16">
      <c r="A232" s="210" t="s">
        <v>1457</v>
      </c>
      <c r="B232" s="133" t="s">
        <v>1321</v>
      </c>
      <c r="C232" s="211">
        <v>0.05</v>
      </c>
      <c r="D232" s="156">
        <f>10%*20%</f>
        <v>2.0000000000000004E-2</v>
      </c>
      <c r="E232" s="156">
        <f>10%*20%</f>
        <v>2.0000000000000004E-2</v>
      </c>
      <c r="F232" s="156">
        <f t="shared" si="32"/>
        <v>1</v>
      </c>
      <c r="G232" s="156">
        <f>30%*100%+10%*20%</f>
        <v>0.32</v>
      </c>
      <c r="H232" s="156">
        <f>50%*33%+10%*33%+10%*20%</f>
        <v>0.21800000000000003</v>
      </c>
      <c r="I232" s="156">
        <f t="shared" ref="I232" si="35">50%*33%+10%*33%+10%*20%</f>
        <v>0.21800000000000003</v>
      </c>
      <c r="J232" s="156">
        <f>50%*34%+10%*34%+10%*20%</f>
        <v>0.22400000000000003</v>
      </c>
      <c r="K232" s="211">
        <f t="shared" si="33"/>
        <v>2.02</v>
      </c>
    </row>
    <row r="233" spans="1:16" ht="30" hidden="1">
      <c r="A233" s="210" t="s">
        <v>1458</v>
      </c>
      <c r="B233" s="133" t="s">
        <v>1322</v>
      </c>
      <c r="C233" s="211">
        <v>0.05</v>
      </c>
      <c r="D233" s="156"/>
      <c r="E233" s="156"/>
      <c r="F233" s="156"/>
      <c r="G233" s="156">
        <v>0.4</v>
      </c>
      <c r="H233" s="156">
        <v>0.2</v>
      </c>
      <c r="I233" s="156">
        <v>0.2</v>
      </c>
      <c r="J233" s="156">
        <v>0.2</v>
      </c>
      <c r="K233" s="211">
        <f t="shared" si="33"/>
        <v>1</v>
      </c>
    </row>
    <row r="234" spans="1:16" ht="45" hidden="1">
      <c r="A234" s="210" t="s">
        <v>1459</v>
      </c>
      <c r="B234" s="133" t="s">
        <v>1329</v>
      </c>
      <c r="C234" s="211">
        <v>0.05</v>
      </c>
      <c r="D234" s="156"/>
      <c r="E234" s="156"/>
      <c r="F234" s="156"/>
      <c r="G234" s="156"/>
      <c r="H234" s="156"/>
      <c r="I234" s="156"/>
      <c r="J234" s="156">
        <v>1</v>
      </c>
      <c r="K234" s="211">
        <f t="shared" si="33"/>
        <v>1</v>
      </c>
    </row>
    <row r="235" spans="1:16" hidden="1">
      <c r="A235" s="157"/>
      <c r="B235" s="136" t="s">
        <v>713</v>
      </c>
      <c r="C235" s="211">
        <f>SUM(C223:C234)</f>
        <v>1</v>
      </c>
      <c r="D235" s="395"/>
      <c r="E235" s="384"/>
      <c r="F235" s="384"/>
      <c r="G235" s="384"/>
      <c r="H235" s="384"/>
      <c r="I235" s="384"/>
      <c r="J235" s="384"/>
      <c r="K235" s="385"/>
    </row>
    <row r="236" spans="1:16">
      <c r="A236" s="371" t="s">
        <v>525</v>
      </c>
      <c r="B236" s="373"/>
      <c r="C236" s="211"/>
      <c r="D236" s="207">
        <f>+D223*$C$223+D224*$C$224+D225*$C$225+D226*$C$226+D227*$C$227+D228*$C$228+D229*$C$229+D230*$C$230+D231*$C$231+D232*$C$232+D233*$C$233+D234*$C$234</f>
        <v>0.24100000000000005</v>
      </c>
      <c r="E236" s="207">
        <f t="shared" ref="E236" si="36">+E223*$C$223+E224*$C$224+E225*$C$225+E226*$C$226+E227*$C$227+E228*$C$228+E229*$C$229+E230*$C$230+E231*$C$231+E232*$C$232+E233*$C$233+E234*$C$234</f>
        <v>0.21600000000000005</v>
      </c>
      <c r="F236" s="207">
        <f>+E236/D236</f>
        <v>0.89626556016597514</v>
      </c>
      <c r="G236" s="207">
        <f t="shared" ref="G236:J236" si="37">+G223*$C$223+G224*$C$224+G225*$C$225+G226*$C$226+G227*$C$227+G228*$C$228+G229*$C$229+G230*$C$230+G231*$C$231+G232*$C$232+G233*$C$233+G234*$C$234</f>
        <v>0.22100000000000003</v>
      </c>
      <c r="H236" s="207">
        <f t="shared" si="37"/>
        <v>0.1958</v>
      </c>
      <c r="I236" s="207">
        <f t="shared" si="37"/>
        <v>0.14580000000000004</v>
      </c>
      <c r="J236" s="207">
        <f t="shared" si="37"/>
        <v>0.19610000000000005</v>
      </c>
      <c r="K236" s="207">
        <f>SUM(D236:J236)</f>
        <v>2.1119655601659755</v>
      </c>
    </row>
    <row r="237" spans="1:16">
      <c r="A237" s="222"/>
      <c r="B237" s="222"/>
      <c r="C237" s="146"/>
      <c r="D237" s="146"/>
      <c r="E237" s="146"/>
      <c r="F237" s="146"/>
      <c r="G237" s="146"/>
      <c r="H237" s="146"/>
      <c r="I237" s="146"/>
      <c r="J237" s="146"/>
      <c r="K237" s="146"/>
    </row>
    <row r="238" spans="1:16" ht="18.75">
      <c r="A238" s="355" t="s">
        <v>706</v>
      </c>
      <c r="B238" s="355"/>
      <c r="C238" s="355"/>
      <c r="D238" s="355"/>
      <c r="E238" s="355"/>
      <c r="F238" s="355"/>
      <c r="G238" s="355"/>
      <c r="H238" s="355"/>
      <c r="I238" s="355"/>
      <c r="J238" s="355"/>
      <c r="K238" s="355"/>
    </row>
    <row r="239" spans="1:16" ht="18.75">
      <c r="A239" s="355" t="s">
        <v>710</v>
      </c>
      <c r="B239" s="355"/>
      <c r="C239" s="355"/>
      <c r="D239" s="355"/>
      <c r="E239" s="355"/>
      <c r="F239" s="355"/>
      <c r="G239" s="355"/>
      <c r="H239" s="355"/>
      <c r="I239" s="355"/>
      <c r="J239" s="355"/>
      <c r="K239" s="355"/>
    </row>
    <row r="240" spans="1:16" ht="18.75">
      <c r="A240" s="355" t="s">
        <v>522</v>
      </c>
      <c r="B240" s="355"/>
      <c r="C240" s="355"/>
      <c r="D240" s="355"/>
      <c r="E240" s="355"/>
      <c r="F240" s="355"/>
      <c r="G240" s="355"/>
      <c r="H240" s="355"/>
      <c r="I240" s="355"/>
      <c r="J240" s="355"/>
      <c r="K240" s="355"/>
    </row>
    <row r="241" spans="1:15" ht="18.75">
      <c r="A241" s="355" t="s">
        <v>529</v>
      </c>
      <c r="B241" s="355"/>
      <c r="C241" s="355"/>
      <c r="D241" s="355"/>
      <c r="E241" s="355"/>
      <c r="F241" s="355"/>
      <c r="G241" s="355"/>
      <c r="H241" s="355"/>
      <c r="I241" s="355"/>
      <c r="J241" s="355"/>
      <c r="K241" s="355"/>
    </row>
    <row r="242" spans="1:15" ht="18.75">
      <c r="A242" s="355" t="s">
        <v>1857</v>
      </c>
      <c r="B242" s="355"/>
      <c r="C242" s="355"/>
      <c r="D242" s="355"/>
      <c r="E242" s="355"/>
      <c r="F242" s="355"/>
      <c r="G242" s="355"/>
      <c r="H242" s="355"/>
      <c r="I242" s="355"/>
      <c r="J242" s="355"/>
      <c r="K242" s="355"/>
    </row>
    <row r="243" spans="1:15" ht="18.75">
      <c r="A243" s="394"/>
      <c r="B243" s="394"/>
    </row>
    <row r="244" spans="1:15">
      <c r="A244" s="369" t="s">
        <v>714</v>
      </c>
      <c r="B244" s="369" t="s">
        <v>715</v>
      </c>
      <c r="C244" s="369" t="s">
        <v>712</v>
      </c>
      <c r="D244" s="371" t="s">
        <v>527</v>
      </c>
      <c r="E244" s="372"/>
      <c r="F244" s="372"/>
      <c r="G244" s="372"/>
      <c r="H244" s="372"/>
      <c r="I244" s="372"/>
      <c r="J244" s="372"/>
      <c r="K244" s="373"/>
    </row>
    <row r="245" spans="1:15">
      <c r="A245" s="370" t="s">
        <v>714</v>
      </c>
      <c r="B245" s="370"/>
      <c r="C245" s="370" t="s">
        <v>712</v>
      </c>
      <c r="D245" s="205">
        <v>2012</v>
      </c>
      <c r="E245" s="205" t="s">
        <v>1800</v>
      </c>
      <c r="F245" s="205" t="s">
        <v>1801</v>
      </c>
      <c r="G245" s="205">
        <v>2013</v>
      </c>
      <c r="H245" s="205">
        <v>2014</v>
      </c>
      <c r="I245" s="205">
        <v>2015</v>
      </c>
      <c r="J245" s="205">
        <v>2016</v>
      </c>
      <c r="K245" s="205" t="s">
        <v>713</v>
      </c>
    </row>
    <row r="246" spans="1:15">
      <c r="A246" s="76"/>
      <c r="B246" s="133"/>
      <c r="C246" s="223"/>
      <c r="D246" s="156"/>
      <c r="E246" s="156"/>
      <c r="F246" s="156"/>
      <c r="G246" s="156"/>
      <c r="H246" s="156"/>
      <c r="I246" s="156"/>
      <c r="J246" s="156"/>
      <c r="K246" s="211">
        <f t="shared" ref="K246:K263" si="38">SUM(D246:J246)</f>
        <v>0</v>
      </c>
    </row>
    <row r="247" spans="1:15" ht="60">
      <c r="A247" s="76" t="s">
        <v>828</v>
      </c>
      <c r="B247" s="133" t="s">
        <v>966</v>
      </c>
      <c r="C247" s="223">
        <v>0.04</v>
      </c>
      <c r="D247" s="156">
        <f>100%*25%</f>
        <v>0.25</v>
      </c>
      <c r="E247" s="156">
        <v>0.25</v>
      </c>
      <c r="F247" s="156">
        <f t="shared" ref="F247:F278" si="39">+E247/D247</f>
        <v>1</v>
      </c>
      <c r="G247" s="156">
        <f>100%*50%</f>
        <v>0.5</v>
      </c>
      <c r="H247" s="156">
        <f>100%*25%</f>
        <v>0.25</v>
      </c>
      <c r="I247" s="156"/>
      <c r="J247" s="156"/>
      <c r="K247" s="211">
        <f t="shared" si="38"/>
        <v>2.25</v>
      </c>
    </row>
    <row r="248" spans="1:15" ht="105">
      <c r="A248" s="76" t="s">
        <v>624</v>
      </c>
      <c r="B248" s="133" t="s">
        <v>991</v>
      </c>
      <c r="C248" s="223">
        <v>0.04</v>
      </c>
      <c r="D248" s="156">
        <f>20%*25%+20%*25%+100%*25%+20%*25%</f>
        <v>0.39999999999999997</v>
      </c>
      <c r="E248" s="156">
        <f>20%*25%+20%*25%+0%*25%+20%*25%</f>
        <v>0.15000000000000002</v>
      </c>
      <c r="F248" s="156">
        <f t="shared" si="39"/>
        <v>0.37500000000000011</v>
      </c>
      <c r="G248" s="156">
        <f>20%*25%+20%*25%+20%*25%</f>
        <v>0.15000000000000002</v>
      </c>
      <c r="H248" s="156">
        <f>20%*25%+20%*25%+20%*25%</f>
        <v>0.15000000000000002</v>
      </c>
      <c r="I248" s="156">
        <f>20%*25%+20%*25%+20%*25%</f>
        <v>0.15000000000000002</v>
      </c>
      <c r="J248" s="156">
        <f>20%*25%+20%*25%+20%*25%</f>
        <v>0.15000000000000002</v>
      </c>
      <c r="K248" s="211">
        <f t="shared" si="38"/>
        <v>1.5249999999999999</v>
      </c>
    </row>
    <row r="249" spans="1:15" ht="30">
      <c r="A249" s="76" t="s">
        <v>625</v>
      </c>
      <c r="B249" s="133" t="s">
        <v>361</v>
      </c>
      <c r="C249" s="223">
        <v>0.04</v>
      </c>
      <c r="D249" s="156">
        <v>0</v>
      </c>
      <c r="E249" s="156">
        <v>0</v>
      </c>
      <c r="F249" s="156">
        <v>0</v>
      </c>
      <c r="G249" s="156">
        <f>25%*50%+100%*25%+100%*25%</f>
        <v>0.625</v>
      </c>
      <c r="H249" s="156">
        <f>25%*50%</f>
        <v>0.125</v>
      </c>
      <c r="I249" s="156">
        <f>25%*50%</f>
        <v>0.125</v>
      </c>
      <c r="J249" s="156">
        <f>25%*50%</f>
        <v>0.125</v>
      </c>
      <c r="K249" s="211">
        <f t="shared" si="38"/>
        <v>1</v>
      </c>
    </row>
    <row r="250" spans="1:15" ht="30">
      <c r="A250" s="76" t="s">
        <v>626</v>
      </c>
      <c r="B250" s="133" t="s">
        <v>985</v>
      </c>
      <c r="C250" s="223">
        <v>0.04</v>
      </c>
      <c r="D250" s="156">
        <v>0.25</v>
      </c>
      <c r="E250" s="156">
        <v>0.25</v>
      </c>
      <c r="F250" s="156">
        <f t="shared" si="39"/>
        <v>1</v>
      </c>
      <c r="G250" s="156">
        <v>0.75</v>
      </c>
      <c r="H250" s="156"/>
      <c r="I250" s="156"/>
      <c r="J250" s="156"/>
      <c r="K250" s="211">
        <f t="shared" si="38"/>
        <v>2.25</v>
      </c>
    </row>
    <row r="251" spans="1:15" ht="30" customHeight="1">
      <c r="A251" s="76" t="s">
        <v>627</v>
      </c>
      <c r="B251" s="133" t="s">
        <v>311</v>
      </c>
      <c r="C251" s="223">
        <v>0.04</v>
      </c>
      <c r="D251" s="156">
        <v>0.2</v>
      </c>
      <c r="E251" s="156">
        <v>0.2</v>
      </c>
      <c r="F251" s="156">
        <f t="shared" si="39"/>
        <v>1</v>
      </c>
      <c r="G251" s="156">
        <v>0.2</v>
      </c>
      <c r="H251" s="156">
        <v>0.2</v>
      </c>
      <c r="I251" s="156">
        <v>0.2</v>
      </c>
      <c r="J251" s="156">
        <v>0.2</v>
      </c>
      <c r="K251" s="211">
        <f t="shared" si="38"/>
        <v>2.1999999999999997</v>
      </c>
    </row>
    <row r="252" spans="1:15" ht="30">
      <c r="A252" s="76" t="s">
        <v>628</v>
      </c>
      <c r="B252" s="133" t="s">
        <v>316</v>
      </c>
      <c r="C252" s="223">
        <v>0.04</v>
      </c>
      <c r="D252" s="156">
        <f>20%*50%</f>
        <v>0.1</v>
      </c>
      <c r="E252" s="156">
        <f>20%*50%</f>
        <v>0.1</v>
      </c>
      <c r="F252" s="156">
        <f t="shared" si="39"/>
        <v>1</v>
      </c>
      <c r="G252" s="156">
        <f>20%*50%+25%*50%</f>
        <v>0.22500000000000001</v>
      </c>
      <c r="H252" s="156">
        <f>20%*50%+25%*50%</f>
        <v>0.22500000000000001</v>
      </c>
      <c r="I252" s="156">
        <f>20%*50%+25%*50%</f>
        <v>0.22500000000000001</v>
      </c>
      <c r="J252" s="156">
        <f>20%*50%+25%*50%</f>
        <v>0.22500000000000001</v>
      </c>
      <c r="K252" s="211">
        <f t="shared" si="38"/>
        <v>2.1</v>
      </c>
      <c r="M252" s="208">
        <f>SUM(D247:D252)</f>
        <v>1.2</v>
      </c>
      <c r="N252" s="208">
        <f>SUM(E247:E252)</f>
        <v>0.95000000000000007</v>
      </c>
      <c r="O252" s="208">
        <f>+N252/M252</f>
        <v>0.79166666666666674</v>
      </c>
    </row>
    <row r="253" spans="1:15" ht="30">
      <c r="A253" s="76" t="s">
        <v>833</v>
      </c>
      <c r="B253" s="127" t="s">
        <v>296</v>
      </c>
      <c r="C253" s="223">
        <v>0.02</v>
      </c>
      <c r="D253" s="156">
        <f>100%*20%+100%*20%+20%*20%+100%*20%+20%*20%</f>
        <v>0.68000000000000016</v>
      </c>
      <c r="E253" s="156">
        <f>100%*20%+100%*20%+20%*20%+100%*20%+20%*0%</f>
        <v>0.64000000000000012</v>
      </c>
      <c r="F253" s="156">
        <f t="shared" si="39"/>
        <v>0.94117647058823528</v>
      </c>
      <c r="G253" s="156">
        <f>20%*20%+20%*20%</f>
        <v>8.0000000000000016E-2</v>
      </c>
      <c r="H253" s="156">
        <f>20%*20%+20%*20%</f>
        <v>8.0000000000000016E-2</v>
      </c>
      <c r="I253" s="156">
        <f>20%*20%+20%*20%</f>
        <v>8.0000000000000016E-2</v>
      </c>
      <c r="J253" s="156">
        <f>20%*20%+20%*20%</f>
        <v>8.0000000000000016E-2</v>
      </c>
      <c r="K253" s="211">
        <f t="shared" si="38"/>
        <v>2.5811764705882361</v>
      </c>
    </row>
    <row r="254" spans="1:15" ht="75">
      <c r="A254" s="76" t="s">
        <v>483</v>
      </c>
      <c r="B254" s="133" t="s">
        <v>308</v>
      </c>
      <c r="C254" s="223">
        <v>0.02</v>
      </c>
      <c r="D254" s="156">
        <v>1</v>
      </c>
      <c r="E254" s="156">
        <v>0.09</v>
      </c>
      <c r="F254" s="156">
        <f t="shared" si="39"/>
        <v>0.09</v>
      </c>
      <c r="G254" s="156"/>
      <c r="H254" s="156"/>
      <c r="I254" s="156"/>
      <c r="J254" s="156"/>
      <c r="K254" s="211">
        <f t="shared" si="38"/>
        <v>1.1800000000000002</v>
      </c>
    </row>
    <row r="255" spans="1:15" ht="45">
      <c r="A255" s="76" t="s">
        <v>629</v>
      </c>
      <c r="B255" s="133" t="s">
        <v>322</v>
      </c>
      <c r="C255" s="223">
        <v>0.02</v>
      </c>
      <c r="D255" s="156">
        <f>20%*15%+100%*15%+20%*15%+20%*15%+20%*15%+100%*15%+20%*10%</f>
        <v>0.44000000000000006</v>
      </c>
      <c r="E255" s="156">
        <f>20%*15%+100%*15%+20%*15%+20%*15%+20%*15%+100%*15%+20%*10%</f>
        <v>0.44000000000000006</v>
      </c>
      <c r="F255" s="156">
        <f t="shared" si="39"/>
        <v>1</v>
      </c>
      <c r="G255" s="156">
        <f>20%*15%+20%*15%+20%*15%+20%*15%+20%*10%</f>
        <v>0.14000000000000001</v>
      </c>
      <c r="H255" s="156">
        <f>20%*15%+20%*15%+20%*15%+20%*15%+20%*10%</f>
        <v>0.14000000000000001</v>
      </c>
      <c r="I255" s="156">
        <f>20%*15%+20%*15%+20%*15%+20%*15%+20%*10%</f>
        <v>0.14000000000000001</v>
      </c>
      <c r="J255" s="156">
        <f>20%*15%+20%*15%+20%*15%+20%*15%+20%*10%</f>
        <v>0.14000000000000001</v>
      </c>
      <c r="K255" s="211">
        <f t="shared" si="38"/>
        <v>2.4400000000000004</v>
      </c>
    </row>
    <row r="256" spans="1:15" ht="45">
      <c r="A256" s="76" t="s">
        <v>630</v>
      </c>
      <c r="B256" s="133" t="s">
        <v>341</v>
      </c>
      <c r="C256" s="223">
        <v>0.04</v>
      </c>
      <c r="D256" s="156">
        <v>1</v>
      </c>
      <c r="E256" s="156">
        <v>1</v>
      </c>
      <c r="F256" s="156">
        <f t="shared" si="39"/>
        <v>1</v>
      </c>
      <c r="G256" s="156"/>
      <c r="H256" s="156"/>
      <c r="I256" s="156"/>
      <c r="J256" s="156"/>
      <c r="K256" s="211">
        <f t="shared" si="38"/>
        <v>3</v>
      </c>
    </row>
    <row r="257" spans="1:15" ht="60">
      <c r="A257" s="76" t="s">
        <v>631</v>
      </c>
      <c r="B257" s="133" t="s">
        <v>343</v>
      </c>
      <c r="C257" s="223">
        <v>0.04</v>
      </c>
      <c r="D257" s="156">
        <v>0.2</v>
      </c>
      <c r="E257" s="156">
        <f>20%*90%</f>
        <v>0.18000000000000002</v>
      </c>
      <c r="F257" s="156">
        <f t="shared" si="39"/>
        <v>0.9</v>
      </c>
      <c r="G257" s="156">
        <v>0.2</v>
      </c>
      <c r="H257" s="156">
        <v>0.2</v>
      </c>
      <c r="I257" s="156">
        <v>0.2</v>
      </c>
      <c r="J257" s="156">
        <v>0.2</v>
      </c>
      <c r="K257" s="211">
        <f t="shared" si="38"/>
        <v>2.08</v>
      </c>
    </row>
    <row r="258" spans="1:15" ht="60">
      <c r="A258" s="76" t="s">
        <v>632</v>
      </c>
      <c r="B258" s="133" t="s">
        <v>347</v>
      </c>
      <c r="C258" s="223">
        <v>0.04</v>
      </c>
      <c r="D258" s="156">
        <v>0.2</v>
      </c>
      <c r="E258" s="156">
        <v>0.2</v>
      </c>
      <c r="F258" s="156">
        <f t="shared" si="39"/>
        <v>1</v>
      </c>
      <c r="G258" s="156">
        <v>0.2</v>
      </c>
      <c r="H258" s="156">
        <v>0.2</v>
      </c>
      <c r="I258" s="156">
        <v>0.2</v>
      </c>
      <c r="J258" s="156">
        <v>0.2</v>
      </c>
      <c r="K258" s="211">
        <f t="shared" si="38"/>
        <v>2.1999999999999997</v>
      </c>
    </row>
    <row r="259" spans="1:15" ht="60">
      <c r="A259" s="76" t="s">
        <v>633</v>
      </c>
      <c r="B259" s="133" t="s">
        <v>351</v>
      </c>
      <c r="C259" s="223">
        <v>0.04</v>
      </c>
      <c r="D259" s="156">
        <f>100%*25%+20%*25%+100%*25%+20%*25%</f>
        <v>0.60000000000000009</v>
      </c>
      <c r="E259" s="156">
        <f>100%*25%+20%*25%+100%*25%+20%*25%</f>
        <v>0.60000000000000009</v>
      </c>
      <c r="F259" s="156">
        <f t="shared" si="39"/>
        <v>1</v>
      </c>
      <c r="G259" s="156">
        <f>20%*25%+20%*25%</f>
        <v>0.1</v>
      </c>
      <c r="H259" s="156">
        <f>20%*25%+20%*25%</f>
        <v>0.1</v>
      </c>
      <c r="I259" s="156">
        <f>20%*25%+20%*25%</f>
        <v>0.1</v>
      </c>
      <c r="J259" s="156">
        <f>20%*25%+20%*25%</f>
        <v>0.1</v>
      </c>
      <c r="K259" s="211">
        <f t="shared" si="38"/>
        <v>2.6000000000000005</v>
      </c>
    </row>
    <row r="260" spans="1:15" ht="60">
      <c r="A260" s="76" t="s">
        <v>634</v>
      </c>
      <c r="B260" s="133" t="s">
        <v>368</v>
      </c>
      <c r="C260" s="223">
        <v>0.04</v>
      </c>
      <c r="D260" s="156">
        <f>100%*50%</f>
        <v>0.5</v>
      </c>
      <c r="E260" s="156">
        <f>100%*50%</f>
        <v>0.5</v>
      </c>
      <c r="F260" s="156">
        <f t="shared" si="39"/>
        <v>1</v>
      </c>
      <c r="G260" s="156">
        <f>25%*50%</f>
        <v>0.125</v>
      </c>
      <c r="H260" s="156">
        <f>25%*50%</f>
        <v>0.125</v>
      </c>
      <c r="I260" s="156">
        <f>25%*50%</f>
        <v>0.125</v>
      </c>
      <c r="J260" s="156">
        <f>25%*50%</f>
        <v>0.125</v>
      </c>
      <c r="K260" s="211">
        <f t="shared" si="38"/>
        <v>2.5</v>
      </c>
    </row>
    <row r="261" spans="1:15" ht="45">
      <c r="A261" s="76" t="s">
        <v>635</v>
      </c>
      <c r="B261" s="133" t="s">
        <v>371</v>
      </c>
      <c r="C261" s="223">
        <v>0.04</v>
      </c>
      <c r="D261" s="156">
        <v>0.2</v>
      </c>
      <c r="E261" s="156">
        <v>0.2</v>
      </c>
      <c r="F261" s="156">
        <f t="shared" si="39"/>
        <v>1</v>
      </c>
      <c r="G261" s="156">
        <v>0.2</v>
      </c>
      <c r="H261" s="156">
        <v>0.2</v>
      </c>
      <c r="I261" s="156">
        <v>0.2</v>
      </c>
      <c r="J261" s="156">
        <v>0.2</v>
      </c>
      <c r="K261" s="211">
        <f t="shared" si="38"/>
        <v>2.1999999999999997</v>
      </c>
    </row>
    <row r="262" spans="1:15" ht="60">
      <c r="A262" s="76" t="s">
        <v>636</v>
      </c>
      <c r="B262" s="133" t="s">
        <v>378</v>
      </c>
      <c r="C262" s="223">
        <v>0.04</v>
      </c>
      <c r="D262" s="156">
        <f>20%*50%+20%*50%</f>
        <v>0.2</v>
      </c>
      <c r="E262" s="156">
        <f>20%*50%+0%*50%</f>
        <v>0.1</v>
      </c>
      <c r="F262" s="156">
        <f t="shared" si="39"/>
        <v>0.5</v>
      </c>
      <c r="G262" s="156">
        <v>0.2</v>
      </c>
      <c r="H262" s="156">
        <v>0.2</v>
      </c>
      <c r="I262" s="156">
        <v>0.2</v>
      </c>
      <c r="J262" s="156">
        <v>0.2</v>
      </c>
      <c r="K262" s="211">
        <f t="shared" si="38"/>
        <v>1.5999999999999999</v>
      </c>
    </row>
    <row r="263" spans="1:15" ht="45">
      <c r="A263" s="76" t="s">
        <v>637</v>
      </c>
      <c r="B263" s="133" t="s">
        <v>402</v>
      </c>
      <c r="C263" s="223">
        <v>0.04</v>
      </c>
      <c r="D263" s="156">
        <v>0</v>
      </c>
      <c r="E263" s="156">
        <v>0</v>
      </c>
      <c r="F263" s="156"/>
      <c r="G263" s="156">
        <v>0.25</v>
      </c>
      <c r="H263" s="156">
        <v>0.25</v>
      </c>
      <c r="I263" s="156">
        <v>0.25</v>
      </c>
      <c r="J263" s="156">
        <v>0.25</v>
      </c>
      <c r="K263" s="211">
        <f t="shared" si="38"/>
        <v>1</v>
      </c>
    </row>
    <row r="264" spans="1:15" ht="45">
      <c r="A264" s="210" t="s">
        <v>638</v>
      </c>
      <c r="B264" s="133" t="s">
        <v>426</v>
      </c>
      <c r="C264" s="223">
        <v>0.04</v>
      </c>
      <c r="D264" s="156">
        <v>0.2</v>
      </c>
      <c r="E264" s="156">
        <v>0.2</v>
      </c>
      <c r="F264" s="156">
        <f t="shared" si="39"/>
        <v>1</v>
      </c>
      <c r="G264" s="156">
        <v>0.2</v>
      </c>
      <c r="H264" s="156">
        <v>0.2</v>
      </c>
      <c r="I264" s="156">
        <v>0.2</v>
      </c>
      <c r="J264" s="156">
        <v>0.2</v>
      </c>
      <c r="K264" s="211">
        <f>SUM(D264:J264)</f>
        <v>2.1999999999999997</v>
      </c>
      <c r="M264" s="208">
        <f>SUM(D253:D264)</f>
        <v>5.2200000000000015</v>
      </c>
      <c r="N264" s="208">
        <f>SUM(E253:E264)</f>
        <v>4.1500000000000004</v>
      </c>
      <c r="O264" s="208">
        <f>+N264/M264</f>
        <v>0.79501915708812243</v>
      </c>
    </row>
    <row r="265" spans="1:15" ht="45">
      <c r="A265" s="210" t="s">
        <v>566</v>
      </c>
      <c r="B265" s="127" t="s">
        <v>979</v>
      </c>
      <c r="C265" s="223">
        <v>0.04</v>
      </c>
      <c r="D265" s="156">
        <v>0.25</v>
      </c>
      <c r="E265" s="156">
        <f>25%*50%</f>
        <v>0.125</v>
      </c>
      <c r="F265" s="156">
        <f t="shared" si="39"/>
        <v>0.5</v>
      </c>
      <c r="G265" s="156">
        <f>100%*50%+25%*25%</f>
        <v>0.5625</v>
      </c>
      <c r="H265" s="156">
        <f>25%*25%</f>
        <v>6.25E-2</v>
      </c>
      <c r="I265" s="156">
        <f>25%*25%</f>
        <v>6.25E-2</v>
      </c>
      <c r="J265" s="156">
        <f>25%*25%</f>
        <v>6.25E-2</v>
      </c>
      <c r="K265" s="211">
        <f t="shared" ref="K265:K282" si="40">SUM(D265:J265)</f>
        <v>1.625</v>
      </c>
    </row>
    <row r="266" spans="1:15">
      <c r="A266" s="210"/>
      <c r="B266" s="224"/>
      <c r="C266" s="223"/>
      <c r="D266" s="156"/>
      <c r="E266" s="156"/>
      <c r="F266" s="156"/>
      <c r="G266" s="156"/>
      <c r="H266" s="156"/>
      <c r="I266" s="156"/>
      <c r="J266" s="156"/>
      <c r="K266" s="211"/>
    </row>
    <row r="267" spans="1:15" ht="30">
      <c r="A267" s="210" t="s">
        <v>567</v>
      </c>
      <c r="B267" s="224" t="s">
        <v>445</v>
      </c>
      <c r="C267" s="223">
        <v>0.04</v>
      </c>
      <c r="D267" s="156">
        <v>1</v>
      </c>
      <c r="E267" s="156">
        <f>100%*50%</f>
        <v>0.5</v>
      </c>
      <c r="F267" s="156">
        <f t="shared" si="39"/>
        <v>0.5</v>
      </c>
      <c r="G267" s="156"/>
      <c r="H267" s="156"/>
      <c r="I267" s="156"/>
      <c r="J267" s="156"/>
      <c r="K267" s="211">
        <f t="shared" si="40"/>
        <v>2</v>
      </c>
    </row>
    <row r="268" spans="1:15" ht="60">
      <c r="A268" s="210" t="s">
        <v>639</v>
      </c>
      <c r="B268" s="224" t="s">
        <v>447</v>
      </c>
      <c r="C268" s="223">
        <v>0.02</v>
      </c>
      <c r="D268" s="156">
        <f>100%*40%</f>
        <v>0.4</v>
      </c>
      <c r="E268" s="156">
        <f>50%*40%</f>
        <v>0.2</v>
      </c>
      <c r="F268" s="156">
        <f t="shared" si="39"/>
        <v>0.5</v>
      </c>
      <c r="G268" s="156">
        <f>25%*60%</f>
        <v>0.15</v>
      </c>
      <c r="H268" s="156">
        <f t="shared" ref="H268:J269" si="41">25%*60%</f>
        <v>0.15</v>
      </c>
      <c r="I268" s="156">
        <f t="shared" si="41"/>
        <v>0.15</v>
      </c>
      <c r="J268" s="156">
        <f t="shared" si="41"/>
        <v>0.15</v>
      </c>
      <c r="K268" s="211">
        <f t="shared" si="40"/>
        <v>1.6999999999999997</v>
      </c>
    </row>
    <row r="269" spans="1:15" ht="45">
      <c r="A269" s="210" t="s">
        <v>640</v>
      </c>
      <c r="B269" s="224" t="s">
        <v>446</v>
      </c>
      <c r="C269" s="223">
        <v>0.02</v>
      </c>
      <c r="D269" s="156">
        <f>100%*40%</f>
        <v>0.4</v>
      </c>
      <c r="E269" s="156">
        <f>50%*40%</f>
        <v>0.2</v>
      </c>
      <c r="F269" s="156">
        <f t="shared" si="39"/>
        <v>0.5</v>
      </c>
      <c r="G269" s="156">
        <f>25%*60%</f>
        <v>0.15</v>
      </c>
      <c r="H269" s="156">
        <f t="shared" si="41"/>
        <v>0.15</v>
      </c>
      <c r="I269" s="156">
        <f t="shared" si="41"/>
        <v>0.15</v>
      </c>
      <c r="J269" s="156">
        <f t="shared" si="41"/>
        <v>0.15</v>
      </c>
      <c r="K269" s="211"/>
    </row>
    <row r="270" spans="1:15" ht="75">
      <c r="A270" s="210" t="s">
        <v>641</v>
      </c>
      <c r="B270" s="224" t="s">
        <v>1865</v>
      </c>
      <c r="C270" s="223">
        <v>0.02</v>
      </c>
      <c r="D270" s="156">
        <v>0.75</v>
      </c>
      <c r="E270" s="156">
        <v>0.75</v>
      </c>
      <c r="F270" s="156">
        <f t="shared" si="39"/>
        <v>1</v>
      </c>
      <c r="G270" s="156">
        <v>0.25</v>
      </c>
      <c r="H270" s="156"/>
      <c r="I270" s="156"/>
      <c r="J270" s="156"/>
      <c r="K270" s="211"/>
    </row>
    <row r="271" spans="1:15" ht="45">
      <c r="A271" s="210" t="s">
        <v>642</v>
      </c>
      <c r="B271" s="224" t="s">
        <v>448</v>
      </c>
      <c r="C271" s="223">
        <v>0.02</v>
      </c>
      <c r="D271" s="156">
        <v>1</v>
      </c>
      <c r="E271" s="156">
        <v>1</v>
      </c>
      <c r="F271" s="156">
        <f t="shared" si="39"/>
        <v>1</v>
      </c>
      <c r="G271" s="156"/>
      <c r="H271" s="156"/>
      <c r="I271" s="156"/>
      <c r="J271" s="156"/>
      <c r="K271" s="211">
        <f t="shared" si="40"/>
        <v>3</v>
      </c>
    </row>
    <row r="272" spans="1:15" ht="45">
      <c r="A272" s="210" t="s">
        <v>643</v>
      </c>
      <c r="B272" s="224" t="s">
        <v>449</v>
      </c>
      <c r="C272" s="223">
        <v>0.02</v>
      </c>
      <c r="D272" s="156">
        <f>100%*25%+100%*25%</f>
        <v>0.5</v>
      </c>
      <c r="E272" s="156">
        <f>50%*25%+50%*25%</f>
        <v>0.25</v>
      </c>
      <c r="F272" s="156">
        <f t="shared" si="39"/>
        <v>0.5</v>
      </c>
      <c r="G272" s="156">
        <f>25%*50%</f>
        <v>0.125</v>
      </c>
      <c r="H272" s="156">
        <f>25%*50%</f>
        <v>0.125</v>
      </c>
      <c r="I272" s="156">
        <f>25%*50%</f>
        <v>0.125</v>
      </c>
      <c r="J272" s="156">
        <f>25%*50%</f>
        <v>0.125</v>
      </c>
      <c r="K272" s="211">
        <f t="shared" si="40"/>
        <v>1.75</v>
      </c>
    </row>
    <row r="273" spans="1:15" ht="75">
      <c r="A273" s="210" t="s">
        <v>644</v>
      </c>
      <c r="B273" s="224" t="s">
        <v>450</v>
      </c>
      <c r="C273" s="223">
        <v>0.02</v>
      </c>
      <c r="D273" s="156">
        <f>20%*25%+25%*25%+25%*25%</f>
        <v>0.17499999999999999</v>
      </c>
      <c r="E273" s="156">
        <f>(20%*100%)*25%+(25%*61%)*25%+(25%*62%)*25%</f>
        <v>0.12687500000000002</v>
      </c>
      <c r="F273" s="156">
        <f t="shared" si="39"/>
        <v>0.72500000000000009</v>
      </c>
      <c r="G273" s="156">
        <f>20%*25%+25%*25%+25%*25%+25%*25%</f>
        <v>0.23749999999999999</v>
      </c>
      <c r="H273" s="156">
        <f>20%*25%+25%*25%+25%*25%+25%*25%</f>
        <v>0.23749999999999999</v>
      </c>
      <c r="I273" s="156">
        <f>20%*25%+25%*25%+25%*25%+25%*25%</f>
        <v>0.23749999999999999</v>
      </c>
      <c r="J273" s="156">
        <f>20%*25%+25%*25%</f>
        <v>0.1125</v>
      </c>
      <c r="K273" s="211">
        <f t="shared" si="40"/>
        <v>1.8518750000000002</v>
      </c>
      <c r="M273" s="208">
        <f>SUM(D265:D273)</f>
        <v>4.4749999999999996</v>
      </c>
      <c r="N273" s="208">
        <f>SUM(E265:E273)</f>
        <v>3.151875</v>
      </c>
      <c r="O273" s="208">
        <f>N273/M273</f>
        <v>0.70432960893854757</v>
      </c>
    </row>
    <row r="274" spans="1:15" ht="30">
      <c r="A274" s="210" t="s">
        <v>568</v>
      </c>
      <c r="B274" s="136" t="s">
        <v>559</v>
      </c>
      <c r="C274" s="211">
        <v>0.02</v>
      </c>
      <c r="D274" s="156">
        <v>0.2</v>
      </c>
      <c r="E274" s="156">
        <v>0.2</v>
      </c>
      <c r="F274" s="156">
        <f t="shared" si="39"/>
        <v>1</v>
      </c>
      <c r="G274" s="156">
        <v>0.2</v>
      </c>
      <c r="H274" s="156">
        <v>0.2</v>
      </c>
      <c r="I274" s="156">
        <v>0.2</v>
      </c>
      <c r="J274" s="156">
        <v>0.2</v>
      </c>
      <c r="K274" s="211">
        <f t="shared" si="40"/>
        <v>2.1999999999999997</v>
      </c>
    </row>
    <row r="275" spans="1:15" ht="30">
      <c r="A275" s="210" t="s">
        <v>1473</v>
      </c>
      <c r="B275" s="133" t="s">
        <v>1332</v>
      </c>
      <c r="C275" s="211">
        <v>0.02</v>
      </c>
      <c r="D275" s="156">
        <f>25%*100%+25%*20%+25%*20%</f>
        <v>0.35</v>
      </c>
      <c r="E275" s="156">
        <f>25%*100%+25%*20%+25%*20%</f>
        <v>0.35</v>
      </c>
      <c r="F275" s="156">
        <f t="shared" si="39"/>
        <v>1</v>
      </c>
      <c r="G275" s="156">
        <f>25%*100%+25%*20%+25%*20%</f>
        <v>0.35</v>
      </c>
      <c r="H275" s="156">
        <f>25%*20%+25%*20%</f>
        <v>0.1</v>
      </c>
      <c r="I275" s="156">
        <f t="shared" ref="I275:J275" si="42">25%*20%+25%*20%</f>
        <v>0.1</v>
      </c>
      <c r="J275" s="156">
        <f t="shared" si="42"/>
        <v>0.1</v>
      </c>
      <c r="K275" s="211">
        <f t="shared" si="40"/>
        <v>2.35</v>
      </c>
    </row>
    <row r="276" spans="1:15" ht="30">
      <c r="A276" s="210" t="s">
        <v>1474</v>
      </c>
      <c r="B276" s="133" t="s">
        <v>1336</v>
      </c>
      <c r="C276" s="211">
        <v>0.02</v>
      </c>
      <c r="D276" s="156">
        <f>25%*100%+15%*100%+15%*20%+25%*100%</f>
        <v>0.68</v>
      </c>
      <c r="E276" s="156">
        <f>25%*100%+15%*50%+15%*20%+25%*50%</f>
        <v>0.48</v>
      </c>
      <c r="F276" s="156">
        <f t="shared" si="39"/>
        <v>0.70588235294117641</v>
      </c>
      <c r="G276" s="156">
        <f>15%*20%+20%*25%</f>
        <v>0.08</v>
      </c>
      <c r="H276" s="156">
        <f t="shared" ref="H276:J276" si="43">15%*20%+20%*25%</f>
        <v>0.08</v>
      </c>
      <c r="I276" s="156">
        <f t="shared" si="43"/>
        <v>0.08</v>
      </c>
      <c r="J276" s="156">
        <f t="shared" si="43"/>
        <v>0.08</v>
      </c>
      <c r="K276" s="211">
        <f t="shared" si="40"/>
        <v>2.1858823529411766</v>
      </c>
    </row>
    <row r="277" spans="1:15" ht="45">
      <c r="A277" s="210" t="s">
        <v>1475</v>
      </c>
      <c r="B277" s="133" t="s">
        <v>1338</v>
      </c>
      <c r="C277" s="211">
        <v>0.02</v>
      </c>
      <c r="D277" s="156"/>
      <c r="E277" s="156"/>
      <c r="F277" s="156"/>
      <c r="G277" s="156">
        <v>1</v>
      </c>
      <c r="H277" s="156"/>
      <c r="I277" s="156"/>
      <c r="J277" s="156"/>
      <c r="K277" s="211">
        <f t="shared" si="40"/>
        <v>1</v>
      </c>
    </row>
    <row r="278" spans="1:15" ht="49.5" customHeight="1">
      <c r="A278" s="210" t="s">
        <v>1680</v>
      </c>
      <c r="B278" s="133" t="s">
        <v>1682</v>
      </c>
      <c r="C278" s="211">
        <v>0.02</v>
      </c>
      <c r="D278" s="156">
        <v>0.2</v>
      </c>
      <c r="E278" s="156">
        <v>0.2</v>
      </c>
      <c r="F278" s="156">
        <f t="shared" si="39"/>
        <v>1</v>
      </c>
      <c r="G278" s="156">
        <v>0.2</v>
      </c>
      <c r="H278" s="156">
        <v>0.2</v>
      </c>
      <c r="I278" s="156">
        <v>0.2</v>
      </c>
      <c r="J278" s="156">
        <v>0.2</v>
      </c>
      <c r="K278" s="211"/>
    </row>
    <row r="279" spans="1:15" ht="45">
      <c r="A279" s="210" t="s">
        <v>1476</v>
      </c>
      <c r="B279" s="133" t="s">
        <v>1340</v>
      </c>
      <c r="C279" s="211">
        <v>0.02</v>
      </c>
      <c r="D279" s="156"/>
      <c r="E279" s="156"/>
      <c r="F279" s="156"/>
      <c r="G279" s="156">
        <f>50%*100%+25%*50%</f>
        <v>0.625</v>
      </c>
      <c r="H279" s="156">
        <f>25%*33%</f>
        <v>8.2500000000000004E-2</v>
      </c>
      <c r="I279" s="156">
        <f>25%*33%+25%*50%</f>
        <v>0.20750000000000002</v>
      </c>
      <c r="J279" s="156">
        <f>25%*33%</f>
        <v>8.2500000000000004E-2</v>
      </c>
      <c r="K279" s="211">
        <f t="shared" si="40"/>
        <v>0.99750000000000005</v>
      </c>
    </row>
    <row r="280" spans="1:15" ht="45">
      <c r="A280" s="210" t="s">
        <v>1477</v>
      </c>
      <c r="B280" s="133" t="s">
        <v>1342</v>
      </c>
      <c r="C280" s="211">
        <v>0.02</v>
      </c>
      <c r="D280" s="156"/>
      <c r="E280" s="156"/>
      <c r="F280" s="156"/>
      <c r="G280" s="156">
        <f>70%*100%+30%*100%</f>
        <v>1</v>
      </c>
      <c r="H280" s="156"/>
      <c r="I280" s="156"/>
      <c r="J280" s="156"/>
      <c r="K280" s="211">
        <f t="shared" si="40"/>
        <v>1</v>
      </c>
    </row>
    <row r="281" spans="1:15">
      <c r="A281" s="217"/>
      <c r="B281" s="136" t="s">
        <v>713</v>
      </c>
      <c r="C281" s="211">
        <f>SUM(C246:C280)</f>
        <v>1.0000000000000002</v>
      </c>
      <c r="D281" s="395"/>
      <c r="E281" s="384"/>
      <c r="F281" s="384"/>
      <c r="G281" s="384"/>
      <c r="H281" s="384"/>
      <c r="I281" s="384"/>
      <c r="J281" s="384"/>
      <c r="K281" s="385"/>
    </row>
    <row r="282" spans="1:15">
      <c r="A282" s="371" t="s">
        <v>525</v>
      </c>
      <c r="B282" s="373"/>
      <c r="C282" s="211"/>
      <c r="D282" s="207">
        <f>+D246*$C$246+D247*$C$247+D248*$C$248+D249*$C$249+D250*$C$250+D251*$C$251+D252*$C$252+D253*$C$253+D254*$C$254+D255*$C$255+D256*$C$256+D257*$C$257+D258*$C$258+D259*$C$259+D260*$C$260+D261*$C$261+D262*$C$262+D263*$C$263+D264*$C$264+D265*$C$265+D266*$C$266+D267*$C$267+D268*$C$268+D269*$C$269+D270*$C$270+D271*$C$271+D272*$C$272+D273*$C$273+D274*$C$274+D275*$C$275+D276*$C$276+D277*$C$277+D278*$C$278+D279*$C$279+D280*$C$280</f>
        <v>0.3575000000000001</v>
      </c>
      <c r="E282" s="207">
        <f t="shared" ref="E282" si="44">+E246*$C$246+E247*$C$247+E248*$C$248+E249*$C$249+E250*$C$250+E251*$C$251+E252*$C$252+E253*$C$253+E254*$C$254+E255*$C$255+E256*$C$256+E257*$C$257+E258*$C$258+E259*$C$259+E260*$C$260+E261*$C$261+E262*$C$262+E263*$C$263+E264*$C$264+E265*$C$265+E266*$C$266+E267*$C$267+E268*$C$268+E269*$C$269+E270*$C$270+E271*$C$271+E272*$C$272+E273*$C$273+E274*$C$274+E275*$C$275+E276*$C$276+E277*$C$277+E278*$C$278+E279*$C$279+E280*$C$280</f>
        <v>0.28073750000000003</v>
      </c>
      <c r="F282" s="207">
        <f>+E282/D282</f>
        <v>0.78527972027972015</v>
      </c>
      <c r="G282" s="207">
        <f t="shared" ref="G282:J282" si="45">+G246*$C$246+G247*$C$247+G248*$C$248+G249*$C$249+G250*$C$250+G251*$C$251+G252*$C$252+G253*$C$253+G254*$C$254+G255*$C$255+G256*$C$256+G257*$C$257+G258*$C$258+G259*$C$259+G260*$C$260+G261*$C$261+G262*$C$262+G263*$C$263+G264*$C$264+G265*$C$265+G266*$C$266+G267*$C$267+G268*$C$268+G269*$C$269+G270*$C$270+G271*$C$271+G272*$C$272+G273*$C$273+G274*$C$274+G275*$C$275+G276*$C$276+G277*$C$277+G278*$C$278+G279*$C$279+G280*$C$280</f>
        <v>0.27125000000000005</v>
      </c>
      <c r="H282" s="207">
        <f t="shared" si="45"/>
        <v>0.13040000000000004</v>
      </c>
      <c r="I282" s="207">
        <f t="shared" si="45"/>
        <v>0.12290000000000001</v>
      </c>
      <c r="J282" s="207">
        <f t="shared" si="45"/>
        <v>0.1179</v>
      </c>
      <c r="K282" s="207">
        <f t="shared" si="40"/>
        <v>2.0659672202797204</v>
      </c>
    </row>
    <row r="283" spans="1:15">
      <c r="A283" s="216"/>
      <c r="B283" s="216"/>
      <c r="C283" s="150"/>
      <c r="D283" s="150"/>
      <c r="E283" s="150"/>
      <c r="F283" s="150"/>
      <c r="G283" s="150"/>
      <c r="H283" s="150"/>
      <c r="I283" s="150"/>
      <c r="J283" s="150"/>
    </row>
    <row r="316" spans="2:9">
      <c r="B316" s="209"/>
      <c r="H316" s="220"/>
      <c r="I316" s="220"/>
    </row>
    <row r="344" spans="2:2">
      <c r="B344" s="209"/>
    </row>
    <row r="386" spans="2:2">
      <c r="B386" s="209"/>
    </row>
    <row r="413" spans="1:11" ht="18.75">
      <c r="A413" s="355"/>
      <c r="B413" s="355"/>
      <c r="C413" s="355"/>
      <c r="D413" s="355"/>
      <c r="E413" s="355"/>
      <c r="F413" s="355"/>
      <c r="G413" s="355"/>
      <c r="H413" s="355"/>
      <c r="I413" s="355"/>
      <c r="J413" s="355"/>
      <c r="K413" s="355"/>
    </row>
  </sheetData>
  <mergeCells count="169">
    <mergeCell ref="E12:E13"/>
    <mergeCell ref="E14:E15"/>
    <mergeCell ref="E16:E17"/>
    <mergeCell ref="E18:E19"/>
    <mergeCell ref="E20:E21"/>
    <mergeCell ref="E22:E23"/>
    <mergeCell ref="F8:F9"/>
    <mergeCell ref="F10:F11"/>
    <mergeCell ref="F12:F13"/>
    <mergeCell ref="F14:F15"/>
    <mergeCell ref="F16:F17"/>
    <mergeCell ref="F18:F19"/>
    <mergeCell ref="F20:F21"/>
    <mergeCell ref="F22:F23"/>
    <mergeCell ref="A413:K413"/>
    <mergeCell ref="A94:K94"/>
    <mergeCell ref="A95:K95"/>
    <mergeCell ref="A96:K96"/>
    <mergeCell ref="A97:K97"/>
    <mergeCell ref="A190:A191"/>
    <mergeCell ref="B190:B191"/>
    <mergeCell ref="C190:C191"/>
    <mergeCell ref="D190:K190"/>
    <mergeCell ref="D209:K209"/>
    <mergeCell ref="A210:B210"/>
    <mergeCell ref="A181:B181"/>
    <mergeCell ref="A184:K184"/>
    <mergeCell ref="A185:K185"/>
    <mergeCell ref="A186:K186"/>
    <mergeCell ref="A187:K187"/>
    <mergeCell ref="A188:K188"/>
    <mergeCell ref="D281:K281"/>
    <mergeCell ref="A282:B282"/>
    <mergeCell ref="A142:K142"/>
    <mergeCell ref="A143:K143"/>
    <mergeCell ref="A217:K217"/>
    <mergeCell ref="A218:K218"/>
    <mergeCell ref="A219:K219"/>
    <mergeCell ref="A35:A36"/>
    <mergeCell ref="B35:B36"/>
    <mergeCell ref="C35:C36"/>
    <mergeCell ref="D35:K35"/>
    <mergeCell ref="A70:K70"/>
    <mergeCell ref="A72:A73"/>
    <mergeCell ref="B72:B73"/>
    <mergeCell ref="C72:C73"/>
    <mergeCell ref="D72:K72"/>
    <mergeCell ref="D62:K62"/>
    <mergeCell ref="A63:B63"/>
    <mergeCell ref="A66:K66"/>
    <mergeCell ref="A67:K67"/>
    <mergeCell ref="A68:K68"/>
    <mergeCell ref="A69:K69"/>
    <mergeCell ref="A221:A222"/>
    <mergeCell ref="B221:B222"/>
    <mergeCell ref="C221:C222"/>
    <mergeCell ref="D221:K221"/>
    <mergeCell ref="A32:K32"/>
    <mergeCell ref="A244:A245"/>
    <mergeCell ref="B244:B245"/>
    <mergeCell ref="C244:C245"/>
    <mergeCell ref="D244:K244"/>
    <mergeCell ref="A99:A100"/>
    <mergeCell ref="A91:B91"/>
    <mergeCell ref="A242:K242"/>
    <mergeCell ref="A243:B243"/>
    <mergeCell ref="D235:K235"/>
    <mergeCell ref="A236:B236"/>
    <mergeCell ref="D148:K148"/>
    <mergeCell ref="D180:K180"/>
    <mergeCell ref="A215:K215"/>
    <mergeCell ref="A216:K216"/>
    <mergeCell ref="A146:K146"/>
    <mergeCell ref="A148:A149"/>
    <mergeCell ref="B148:B149"/>
    <mergeCell ref="C148:C149"/>
    <mergeCell ref="A238:K238"/>
    <mergeCell ref="A239:K239"/>
    <mergeCell ref="A240:K240"/>
    <mergeCell ref="A241:K241"/>
    <mergeCell ref="D90:K90"/>
    <mergeCell ref="J22:J23"/>
    <mergeCell ref="K22:K23"/>
    <mergeCell ref="A33:K33"/>
    <mergeCell ref="A144:K144"/>
    <mergeCell ref="A145:K145"/>
    <mergeCell ref="B99:B100"/>
    <mergeCell ref="C99:C100"/>
    <mergeCell ref="D99:K99"/>
    <mergeCell ref="D138:K138"/>
    <mergeCell ref="A139:B139"/>
    <mergeCell ref="A22:B23"/>
    <mergeCell ref="C22:C23"/>
    <mergeCell ref="D22:D23"/>
    <mergeCell ref="G22:G23"/>
    <mergeCell ref="H22:H23"/>
    <mergeCell ref="I22:I23"/>
    <mergeCell ref="A24:B25"/>
    <mergeCell ref="C24:C25"/>
    <mergeCell ref="D24:K25"/>
    <mergeCell ref="A26:B26"/>
    <mergeCell ref="A29:K29"/>
    <mergeCell ref="A30:K30"/>
    <mergeCell ref="A31:K31"/>
    <mergeCell ref="J18:J19"/>
    <mergeCell ref="K18:K19"/>
    <mergeCell ref="H16:H17"/>
    <mergeCell ref="I16:I17"/>
    <mergeCell ref="A20:B21"/>
    <mergeCell ref="C20:C21"/>
    <mergeCell ref="D20:D21"/>
    <mergeCell ref="G20:G21"/>
    <mergeCell ref="J20:J21"/>
    <mergeCell ref="K20:K21"/>
    <mergeCell ref="A18:B19"/>
    <mergeCell ref="C18:C19"/>
    <mergeCell ref="D18:D19"/>
    <mergeCell ref="G18:G19"/>
    <mergeCell ref="H20:H21"/>
    <mergeCell ref="I20:I21"/>
    <mergeCell ref="H18:H19"/>
    <mergeCell ref="I18:I19"/>
    <mergeCell ref="A12:B13"/>
    <mergeCell ref="C12:C13"/>
    <mergeCell ref="J10:J11"/>
    <mergeCell ref="J14:J15"/>
    <mergeCell ref="K14:K15"/>
    <mergeCell ref="A16:B17"/>
    <mergeCell ref="C16:C17"/>
    <mergeCell ref="D16:D17"/>
    <mergeCell ref="G16:G17"/>
    <mergeCell ref="J16:J17"/>
    <mergeCell ref="K16:K17"/>
    <mergeCell ref="D12:D13"/>
    <mergeCell ref="G12:G13"/>
    <mergeCell ref="J12:J13"/>
    <mergeCell ref="K12:K13"/>
    <mergeCell ref="A14:B15"/>
    <mergeCell ref="C14:C15"/>
    <mergeCell ref="D14:D15"/>
    <mergeCell ref="G14:G15"/>
    <mergeCell ref="H14:H15"/>
    <mergeCell ref="I14:I15"/>
    <mergeCell ref="H12:H13"/>
    <mergeCell ref="I12:I13"/>
    <mergeCell ref="E10:E11"/>
    <mergeCell ref="A1:K1"/>
    <mergeCell ref="A2:K2"/>
    <mergeCell ref="A3:K3"/>
    <mergeCell ref="A4:K4"/>
    <mergeCell ref="K10:K11"/>
    <mergeCell ref="A8:B9"/>
    <mergeCell ref="C8:C9"/>
    <mergeCell ref="D8:D9"/>
    <mergeCell ref="G8:G9"/>
    <mergeCell ref="H8:H9"/>
    <mergeCell ref="I8:I9"/>
    <mergeCell ref="A6:B7"/>
    <mergeCell ref="C6:C7"/>
    <mergeCell ref="D6:K6"/>
    <mergeCell ref="J8:J9"/>
    <mergeCell ref="K8:K9"/>
    <mergeCell ref="A10:B11"/>
    <mergeCell ref="C10:C11"/>
    <mergeCell ref="D10:D11"/>
    <mergeCell ref="G10:G11"/>
    <mergeCell ref="H10:H11"/>
    <mergeCell ref="I10:I11"/>
    <mergeCell ref="E8:E9"/>
  </mergeCells>
  <phoneticPr fontId="7" type="noConversion"/>
  <printOptions horizontalCentered="1" verticalCentered="1"/>
  <pageMargins left="0.43307086614173229" right="0.35433070866141736" top="0.19" bottom="0.17" header="0.17" footer="0.17"/>
  <pageSetup scale="60" orientation="portrait" r:id="rId1"/>
</worksheet>
</file>

<file path=xl/worksheets/sheet11.xml><?xml version="1.0" encoding="utf-8"?>
<worksheet xmlns="http://schemas.openxmlformats.org/spreadsheetml/2006/main" xmlns:r="http://schemas.openxmlformats.org/officeDocument/2006/relationships">
  <dimension ref="A1:D56"/>
  <sheetViews>
    <sheetView tabSelected="1" workbookViewId="0">
      <selection activeCell="A5" sqref="A5"/>
    </sheetView>
  </sheetViews>
  <sheetFormatPr baseColWidth="10" defaultRowHeight="15"/>
  <cols>
    <col min="1" max="1" width="63.140625" customWidth="1"/>
    <col min="2" max="2" width="12.7109375" style="404" customWidth="1"/>
    <col min="3" max="3" width="17.85546875" style="399" customWidth="1"/>
    <col min="4" max="4" width="42.85546875" customWidth="1"/>
  </cols>
  <sheetData>
    <row r="1" spans="1:4" ht="24" customHeight="1"/>
    <row r="2" spans="1:4" ht="18.75" customHeight="1">
      <c r="A2" s="397" t="s">
        <v>706</v>
      </c>
      <c r="B2" s="397"/>
      <c r="C2" s="397"/>
      <c r="D2" s="397"/>
    </row>
    <row r="3" spans="1:4" ht="18.75" customHeight="1">
      <c r="A3" s="397" t="s">
        <v>1114</v>
      </c>
      <c r="B3" s="397"/>
      <c r="C3" s="397"/>
      <c r="D3" s="397"/>
    </row>
    <row r="4" spans="1:4" ht="24" customHeight="1">
      <c r="A4" s="397" t="s">
        <v>1902</v>
      </c>
      <c r="B4" s="397"/>
      <c r="C4" s="397"/>
      <c r="D4" s="397"/>
    </row>
    <row r="5" spans="1:4" ht="24" customHeight="1"/>
    <row r="6" spans="1:4" ht="24" customHeight="1"/>
    <row r="7" spans="1:4" ht="33.75" customHeight="1">
      <c r="A7" s="233" t="s">
        <v>1903</v>
      </c>
      <c r="B7" s="405" t="s">
        <v>704</v>
      </c>
      <c r="C7" s="400" t="s">
        <v>1904</v>
      </c>
      <c r="D7" s="233"/>
    </row>
    <row r="8" spans="1:4" ht="54" customHeight="1">
      <c r="A8" s="227" t="s">
        <v>663</v>
      </c>
      <c r="B8" s="406" t="s">
        <v>893</v>
      </c>
      <c r="C8" s="398">
        <v>0.75</v>
      </c>
      <c r="D8" s="230" t="s">
        <v>1906</v>
      </c>
    </row>
    <row r="9" spans="1:4" ht="45">
      <c r="A9" s="227" t="s">
        <v>1280</v>
      </c>
      <c r="B9" s="406" t="s">
        <v>893</v>
      </c>
      <c r="C9" s="398">
        <v>0</v>
      </c>
      <c r="D9" s="230" t="s">
        <v>1907</v>
      </c>
    </row>
    <row r="10" spans="1:4">
      <c r="A10" s="231"/>
      <c r="B10" s="231"/>
      <c r="C10" s="401"/>
      <c r="D10" s="232"/>
    </row>
    <row r="11" spans="1:4" ht="32.25" customHeight="1">
      <c r="A11" s="227" t="s">
        <v>1534</v>
      </c>
      <c r="B11" s="406" t="s">
        <v>893</v>
      </c>
      <c r="C11" s="398">
        <v>0</v>
      </c>
      <c r="D11" s="2" t="s">
        <v>1905</v>
      </c>
    </row>
    <row r="12" spans="1:4" ht="27.75" customHeight="1">
      <c r="A12" s="227" t="s">
        <v>1866</v>
      </c>
      <c r="B12" s="406" t="s">
        <v>893</v>
      </c>
      <c r="C12" s="398">
        <v>0.9</v>
      </c>
      <c r="D12" s="2" t="s">
        <v>1908</v>
      </c>
    </row>
    <row r="13" spans="1:4" ht="35.25" customHeight="1">
      <c r="A13" s="227" t="s">
        <v>1867</v>
      </c>
      <c r="B13" s="406" t="s">
        <v>893</v>
      </c>
      <c r="C13" s="398">
        <v>0.87</v>
      </c>
      <c r="D13" s="2" t="s">
        <v>1909</v>
      </c>
    </row>
    <row r="14" spans="1:4" ht="77.25" customHeight="1">
      <c r="A14" s="227" t="s">
        <v>1868</v>
      </c>
      <c r="B14" s="406" t="s">
        <v>893</v>
      </c>
      <c r="C14" s="398">
        <v>0.64</v>
      </c>
      <c r="D14" s="230" t="s">
        <v>1816</v>
      </c>
    </row>
    <row r="15" spans="1:4" ht="93.75" customHeight="1">
      <c r="A15" s="227" t="s">
        <v>221</v>
      </c>
      <c r="B15" s="406" t="s">
        <v>869</v>
      </c>
      <c r="C15" s="398">
        <v>0.25</v>
      </c>
      <c r="D15" s="229" t="s">
        <v>1810</v>
      </c>
    </row>
    <row r="16" spans="1:4">
      <c r="A16" s="231"/>
      <c r="B16" s="231"/>
      <c r="C16" s="401"/>
      <c r="D16" s="232"/>
    </row>
    <row r="17" spans="1:4" ht="38.25" customHeight="1">
      <c r="A17" s="227" t="s">
        <v>684</v>
      </c>
      <c r="B17" s="406" t="s">
        <v>1869</v>
      </c>
      <c r="C17" s="398">
        <v>0</v>
      </c>
      <c r="D17" s="2" t="s">
        <v>1905</v>
      </c>
    </row>
    <row r="18" spans="1:4" ht="57" customHeight="1">
      <c r="A18" s="226" t="s">
        <v>1870</v>
      </c>
      <c r="B18" s="406" t="s">
        <v>1871</v>
      </c>
      <c r="C18" s="398">
        <v>0.43</v>
      </c>
      <c r="D18" s="228" t="s">
        <v>1812</v>
      </c>
    </row>
    <row r="19" spans="1:4" ht="30.75" customHeight="1">
      <c r="A19" s="227" t="s">
        <v>1872</v>
      </c>
      <c r="B19" s="406" t="s">
        <v>1873</v>
      </c>
      <c r="C19" s="398">
        <v>0.94</v>
      </c>
      <c r="D19" s="228" t="s">
        <v>1910</v>
      </c>
    </row>
    <row r="20" spans="1:4" ht="42.75" customHeight="1">
      <c r="A20" s="227" t="s">
        <v>1875</v>
      </c>
      <c r="B20" s="406" t="s">
        <v>1874</v>
      </c>
      <c r="C20" s="398">
        <v>0.67</v>
      </c>
      <c r="D20" s="228" t="s">
        <v>1911</v>
      </c>
    </row>
    <row r="21" spans="1:4" ht="45" customHeight="1">
      <c r="A21" s="226" t="s">
        <v>1876</v>
      </c>
      <c r="B21" s="406" t="s">
        <v>908</v>
      </c>
      <c r="C21" s="398">
        <v>0.97</v>
      </c>
      <c r="D21" s="2"/>
    </row>
    <row r="22" spans="1:4" ht="30">
      <c r="A22" s="226" t="s">
        <v>1877</v>
      </c>
      <c r="B22" s="406" t="s">
        <v>908</v>
      </c>
      <c r="C22" s="398">
        <v>0.98</v>
      </c>
      <c r="D22" s="2"/>
    </row>
    <row r="23" spans="1:4" ht="59.25" customHeight="1">
      <c r="A23" s="226" t="s">
        <v>1878</v>
      </c>
      <c r="B23" s="406" t="s">
        <v>918</v>
      </c>
      <c r="C23" s="398">
        <v>0.85</v>
      </c>
      <c r="D23" s="229" t="s">
        <v>1831</v>
      </c>
    </row>
    <row r="24" spans="1:4" ht="45">
      <c r="A24" s="229" t="s">
        <v>1913</v>
      </c>
      <c r="B24" s="406" t="s">
        <v>1879</v>
      </c>
      <c r="C24" s="398">
        <v>0.2</v>
      </c>
      <c r="D24" s="229" t="s">
        <v>1912</v>
      </c>
    </row>
    <row r="25" spans="1:4" ht="47.25" customHeight="1">
      <c r="A25" s="230" t="s">
        <v>57</v>
      </c>
      <c r="B25" s="406" t="s">
        <v>963</v>
      </c>
      <c r="C25" s="398">
        <v>0</v>
      </c>
      <c r="D25" s="229" t="s">
        <v>1914</v>
      </c>
    </row>
    <row r="26" spans="1:4" ht="41.25" customHeight="1">
      <c r="A26" s="227" t="s">
        <v>1880</v>
      </c>
      <c r="B26" s="406" t="s">
        <v>1873</v>
      </c>
      <c r="C26" s="398">
        <v>0.5</v>
      </c>
      <c r="D26" s="2"/>
    </row>
    <row r="27" spans="1:4" ht="45">
      <c r="A27" s="226" t="s">
        <v>1881</v>
      </c>
      <c r="B27" s="406" t="s">
        <v>1873</v>
      </c>
      <c r="C27" s="398">
        <v>0.5</v>
      </c>
      <c r="D27" s="229" t="s">
        <v>1915</v>
      </c>
    </row>
    <row r="28" spans="1:4" ht="42" customHeight="1">
      <c r="A28" s="227" t="s">
        <v>1882</v>
      </c>
      <c r="B28" s="406" t="s">
        <v>1873</v>
      </c>
      <c r="C28" s="398">
        <v>0</v>
      </c>
      <c r="D28" s="229" t="s">
        <v>1916</v>
      </c>
    </row>
    <row r="29" spans="1:4" ht="30">
      <c r="A29" s="226" t="s">
        <v>1401</v>
      </c>
      <c r="B29" s="406" t="s">
        <v>1883</v>
      </c>
      <c r="C29" s="398">
        <v>0.75</v>
      </c>
      <c r="D29" s="2" t="s">
        <v>1917</v>
      </c>
    </row>
    <row r="30" spans="1:4" ht="30">
      <c r="A30" s="226" t="s">
        <v>1405</v>
      </c>
      <c r="B30" s="406" t="s">
        <v>1883</v>
      </c>
      <c r="C30" s="398">
        <v>0.75</v>
      </c>
      <c r="D30" s="2" t="s">
        <v>1918</v>
      </c>
    </row>
    <row r="31" spans="1:4">
      <c r="A31" s="231"/>
      <c r="B31" s="406"/>
      <c r="C31" s="401"/>
      <c r="D31" s="232"/>
    </row>
    <row r="32" spans="1:4" ht="45">
      <c r="A32" s="226" t="s">
        <v>70</v>
      </c>
      <c r="B32" s="406" t="s">
        <v>869</v>
      </c>
      <c r="C32" s="398">
        <v>0</v>
      </c>
      <c r="D32" s="229" t="s">
        <v>1919</v>
      </c>
    </row>
    <row r="33" spans="1:4" ht="27.75" customHeight="1">
      <c r="A33" s="226" t="s">
        <v>71</v>
      </c>
      <c r="B33" s="406" t="s">
        <v>869</v>
      </c>
      <c r="C33" s="398">
        <v>0.2</v>
      </c>
      <c r="D33" s="2" t="s">
        <v>1920</v>
      </c>
    </row>
    <row r="34" spans="1:4">
      <c r="A34" s="231"/>
      <c r="B34" s="231"/>
      <c r="C34" s="401"/>
      <c r="D34" s="232"/>
    </row>
    <row r="35" spans="1:4" ht="30">
      <c r="A35" s="226" t="s">
        <v>94</v>
      </c>
      <c r="B35" s="406" t="s">
        <v>1884</v>
      </c>
      <c r="C35" s="398">
        <v>0.4</v>
      </c>
      <c r="D35" s="2" t="s">
        <v>1921</v>
      </c>
    </row>
    <row r="36" spans="1:4">
      <c r="A36" s="231"/>
      <c r="B36" s="231"/>
      <c r="C36" s="401"/>
      <c r="D36" s="232"/>
    </row>
    <row r="37" spans="1:4" ht="30">
      <c r="A37" s="226" t="s">
        <v>115</v>
      </c>
      <c r="B37" s="406" t="s">
        <v>1885</v>
      </c>
      <c r="C37" s="398">
        <v>0</v>
      </c>
      <c r="D37" s="2" t="s">
        <v>1922</v>
      </c>
    </row>
    <row r="38" spans="1:4">
      <c r="A38" s="231"/>
      <c r="B38" s="231"/>
      <c r="C38" s="401"/>
      <c r="D38" s="232"/>
    </row>
    <row r="39" spans="1:4" ht="51" customHeight="1">
      <c r="A39" s="226" t="s">
        <v>125</v>
      </c>
      <c r="B39" s="406" t="s">
        <v>1886</v>
      </c>
      <c r="C39" s="398">
        <v>0</v>
      </c>
      <c r="D39" s="2" t="s">
        <v>1923</v>
      </c>
    </row>
    <row r="40" spans="1:4" ht="39.75" customHeight="1">
      <c r="A40" s="226" t="s">
        <v>146</v>
      </c>
      <c r="B40" s="406" t="s">
        <v>1887</v>
      </c>
      <c r="C40" s="398">
        <v>0</v>
      </c>
      <c r="D40" s="229" t="s">
        <v>1924</v>
      </c>
    </row>
    <row r="41" spans="1:4" ht="36" customHeight="1">
      <c r="A41" s="226" t="s">
        <v>148</v>
      </c>
      <c r="B41" s="406" t="s">
        <v>963</v>
      </c>
      <c r="C41" s="398">
        <v>0.09</v>
      </c>
      <c r="D41" s="2" t="s">
        <v>1925</v>
      </c>
    </row>
    <row r="42" spans="1:4" ht="66" customHeight="1">
      <c r="A42" s="226" t="s">
        <v>1888</v>
      </c>
      <c r="B42" s="406" t="s">
        <v>1887</v>
      </c>
      <c r="C42" s="398">
        <v>0.9</v>
      </c>
      <c r="D42" s="229" t="s">
        <v>1926</v>
      </c>
    </row>
    <row r="43" spans="1:4">
      <c r="A43" s="226" t="s">
        <v>174</v>
      </c>
      <c r="B43" s="406" t="s">
        <v>1886</v>
      </c>
      <c r="C43" s="398">
        <v>0</v>
      </c>
      <c r="D43" s="2" t="s">
        <v>1923</v>
      </c>
    </row>
    <row r="44" spans="1:4" ht="55.5" customHeight="1">
      <c r="A44" s="226" t="s">
        <v>1890</v>
      </c>
      <c r="B44" s="406" t="s">
        <v>1886</v>
      </c>
      <c r="C44" s="398">
        <v>0.5</v>
      </c>
      <c r="D44" s="234" t="s">
        <v>1821</v>
      </c>
    </row>
    <row r="45" spans="1:4" ht="47.25" customHeight="1">
      <c r="A45" s="226" t="s">
        <v>1892</v>
      </c>
      <c r="B45" s="406" t="s">
        <v>1886</v>
      </c>
      <c r="C45" s="398">
        <v>0.5</v>
      </c>
      <c r="D45" s="402"/>
    </row>
    <row r="46" spans="1:4" ht="42" customHeight="1">
      <c r="A46" s="226" t="s">
        <v>1891</v>
      </c>
      <c r="B46" s="406" t="s">
        <v>1889</v>
      </c>
      <c r="C46" s="398">
        <v>0.5</v>
      </c>
      <c r="D46" s="402"/>
    </row>
    <row r="47" spans="1:4" ht="54.75" customHeight="1">
      <c r="A47" s="226" t="s">
        <v>185</v>
      </c>
      <c r="B47" s="406" t="s">
        <v>1886</v>
      </c>
      <c r="C47" s="398">
        <v>0.5</v>
      </c>
      <c r="D47" s="402"/>
    </row>
    <row r="48" spans="1:4" ht="67.5" customHeight="1">
      <c r="A48" s="226" t="s">
        <v>188</v>
      </c>
      <c r="B48" s="406" t="s">
        <v>1901</v>
      </c>
      <c r="C48" s="398">
        <v>0.5</v>
      </c>
      <c r="D48" s="402"/>
    </row>
    <row r="49" spans="1:4" ht="48" customHeight="1">
      <c r="A49" s="226" t="s">
        <v>1893</v>
      </c>
      <c r="B49" s="406" t="s">
        <v>1886</v>
      </c>
      <c r="C49" s="398">
        <v>0.5</v>
      </c>
      <c r="D49" s="402"/>
    </row>
    <row r="50" spans="1:4" ht="51" customHeight="1">
      <c r="A50" s="226" t="s">
        <v>1894</v>
      </c>
      <c r="B50" s="406" t="s">
        <v>1886</v>
      </c>
      <c r="C50" s="398">
        <v>0.5</v>
      </c>
      <c r="D50" s="403"/>
    </row>
    <row r="51" spans="1:4" ht="69" customHeight="1">
      <c r="A51" s="226" t="s">
        <v>1895</v>
      </c>
      <c r="B51" s="406" t="s">
        <v>963</v>
      </c>
      <c r="C51" s="398">
        <v>0.61</v>
      </c>
      <c r="D51" s="341" t="s">
        <v>1927</v>
      </c>
    </row>
    <row r="52" spans="1:4" ht="66" customHeight="1">
      <c r="A52" s="226" t="s">
        <v>1896</v>
      </c>
      <c r="B52" s="406" t="s">
        <v>963</v>
      </c>
      <c r="C52" s="398">
        <v>0.62</v>
      </c>
      <c r="D52" s="339"/>
    </row>
    <row r="53" spans="1:4" ht="36" customHeight="1">
      <c r="A53" s="226" t="s">
        <v>1897</v>
      </c>
      <c r="B53" s="406" t="s">
        <v>963</v>
      </c>
      <c r="C53" s="398">
        <v>0.63</v>
      </c>
      <c r="D53" s="340"/>
    </row>
    <row r="54" spans="1:4" ht="37.5" customHeight="1">
      <c r="A54" s="226" t="s">
        <v>1898</v>
      </c>
      <c r="B54" s="406" t="s">
        <v>1899</v>
      </c>
      <c r="C54" s="398">
        <v>0.5</v>
      </c>
      <c r="D54" s="341" t="s">
        <v>1928</v>
      </c>
    </row>
    <row r="55" spans="1:4" ht="54" customHeight="1">
      <c r="A55" s="226" t="s">
        <v>1900</v>
      </c>
      <c r="B55" s="406" t="s">
        <v>1899</v>
      </c>
      <c r="C55" s="398">
        <v>0.5</v>
      </c>
      <c r="D55" s="340"/>
    </row>
    <row r="56" spans="1:4">
      <c r="A56" s="231"/>
      <c r="B56" s="407"/>
      <c r="C56" s="401"/>
      <c r="D56" s="232"/>
    </row>
  </sheetData>
  <mergeCells count="6">
    <mergeCell ref="D51:D53"/>
    <mergeCell ref="D54:D55"/>
    <mergeCell ref="A2:D2"/>
    <mergeCell ref="A3:D3"/>
    <mergeCell ref="A4:D4"/>
    <mergeCell ref="D44:D50"/>
  </mergeCells>
  <printOptions horizontalCentered="1" verticalCentered="1"/>
  <pageMargins left="0.23622047244094491" right="0.27559055118110237" top="0.55118110236220474" bottom="0.35433070866141736" header="0.31496062992125984" footer="0.31496062992125984"/>
  <pageSetup scale="85" orientation="portrait" r:id="rId1"/>
</worksheet>
</file>

<file path=xl/worksheets/sheet2.xml><?xml version="1.0" encoding="utf-8"?>
<worksheet xmlns="http://schemas.openxmlformats.org/spreadsheetml/2006/main" xmlns:r="http://schemas.openxmlformats.org/officeDocument/2006/relationships">
  <dimension ref="A3:AC42"/>
  <sheetViews>
    <sheetView topLeftCell="G7" zoomScale="58" zoomScaleNormal="58" workbookViewId="0">
      <pane ySplit="11" topLeftCell="A29" activePane="bottomLeft" state="frozen"/>
      <selection activeCell="A7" sqref="A7"/>
      <selection pane="bottomLeft" activeCell="X32" sqref="X32"/>
    </sheetView>
  </sheetViews>
  <sheetFormatPr baseColWidth="10" defaultRowHeight="15"/>
  <cols>
    <col min="1" max="1" width="23.140625" style="31" hidden="1" customWidth="1"/>
    <col min="2" max="2" width="25.85546875" style="31" hidden="1" customWidth="1"/>
    <col min="3" max="3" width="23.140625" style="31" hidden="1" customWidth="1"/>
    <col min="4" max="4" width="11.85546875" style="31" hidden="1" customWidth="1"/>
    <col min="5" max="5" width="9" style="31" hidden="1" customWidth="1"/>
    <col min="6" max="6" width="13.5703125" style="31" hidden="1" customWidth="1"/>
    <col min="7" max="7" width="21.42578125" style="31" customWidth="1"/>
    <col min="8" max="8" width="24" style="31" customWidth="1"/>
    <col min="9" max="9" width="27.5703125" style="31" customWidth="1"/>
    <col min="10" max="10" width="23.7109375" style="31" customWidth="1"/>
    <col min="11" max="11" width="21" style="31" customWidth="1"/>
    <col min="12" max="12" width="19.7109375" style="31" customWidth="1"/>
    <col min="13" max="13" width="10.28515625" style="31" customWidth="1"/>
    <col min="14" max="14" width="7.28515625" style="31" customWidth="1"/>
    <col min="15" max="16" width="8.7109375" style="31" hidden="1" customWidth="1"/>
    <col min="17" max="17" width="6.7109375" style="31" hidden="1" customWidth="1"/>
    <col min="18" max="18" width="9" style="31" hidden="1" customWidth="1"/>
    <col min="19" max="19" width="20.85546875" style="31" customWidth="1"/>
    <col min="20" max="20" width="25" style="31" hidden="1" customWidth="1"/>
    <col min="21" max="21" width="20.85546875" style="31" hidden="1" customWidth="1"/>
    <col min="22" max="22" width="20.85546875" style="31" customWidth="1"/>
    <col min="23" max="23" width="14.85546875" style="31" customWidth="1"/>
    <col min="24" max="24" width="25.7109375" style="31" customWidth="1"/>
    <col min="25" max="26" width="16.140625" style="31" hidden="1" customWidth="1"/>
    <col min="27" max="27" width="19.85546875" style="31" hidden="1" customWidth="1"/>
    <col min="28" max="16384" width="11.42578125" style="31"/>
  </cols>
  <sheetData>
    <row r="3" spans="1:27" ht="21">
      <c r="B3" s="291" t="s">
        <v>706</v>
      </c>
      <c r="C3" s="291"/>
      <c r="D3" s="291"/>
      <c r="E3" s="291"/>
      <c r="F3" s="291"/>
      <c r="G3" s="291"/>
      <c r="H3" s="291"/>
      <c r="I3" s="291"/>
      <c r="J3" s="291"/>
      <c r="K3" s="291"/>
      <c r="L3" s="291"/>
      <c r="M3" s="291"/>
      <c r="N3" s="291"/>
      <c r="O3" s="291"/>
      <c r="P3" s="291"/>
      <c r="Q3" s="291"/>
      <c r="R3" s="291"/>
      <c r="S3" s="291"/>
      <c r="T3" s="291"/>
    </row>
    <row r="4" spans="1:27" ht="21">
      <c r="B4" s="291" t="s">
        <v>1110</v>
      </c>
      <c r="C4" s="291"/>
      <c r="D4" s="291"/>
      <c r="E4" s="291"/>
      <c r="F4" s="291"/>
      <c r="G4" s="291"/>
      <c r="H4" s="291" t="s">
        <v>707</v>
      </c>
      <c r="I4" s="291"/>
      <c r="J4" s="291"/>
      <c r="K4" s="291"/>
      <c r="L4" s="291"/>
      <c r="M4" s="291"/>
      <c r="N4" s="291"/>
      <c r="O4" s="291"/>
      <c r="P4" s="291"/>
      <c r="Q4" s="291"/>
      <c r="R4" s="291"/>
      <c r="S4" s="291"/>
      <c r="T4" s="291"/>
    </row>
    <row r="5" spans="1:27" ht="21">
      <c r="B5" s="291" t="s">
        <v>1111</v>
      </c>
      <c r="C5" s="291"/>
      <c r="D5" s="291"/>
      <c r="E5" s="291"/>
      <c r="F5" s="291"/>
      <c r="G5" s="291"/>
      <c r="H5" s="291"/>
      <c r="I5" s="291"/>
      <c r="J5" s="291"/>
      <c r="K5" s="291"/>
      <c r="L5" s="291"/>
      <c r="M5" s="291"/>
      <c r="N5" s="291"/>
      <c r="O5" s="291"/>
      <c r="P5" s="291"/>
      <c r="Q5" s="291"/>
      <c r="R5" s="291"/>
      <c r="S5" s="291"/>
      <c r="T5" s="291"/>
    </row>
    <row r="6" spans="1:27" ht="21" customHeight="1">
      <c r="H6" s="291"/>
      <c r="I6" s="291"/>
      <c r="J6" s="291"/>
      <c r="K6" s="291"/>
      <c r="L6" s="291"/>
      <c r="M6" s="291"/>
      <c r="N6" s="291"/>
      <c r="O6" s="291"/>
      <c r="P6" s="291"/>
      <c r="Q6" s="291"/>
      <c r="R6" s="291"/>
      <c r="S6" s="291"/>
      <c r="T6" s="291"/>
    </row>
    <row r="7" spans="1:27" ht="21" customHeight="1">
      <c r="H7" s="32"/>
      <c r="I7" s="32"/>
      <c r="J7" s="32"/>
      <c r="K7" s="32"/>
      <c r="L7" s="32"/>
      <c r="M7" s="32"/>
      <c r="N7" s="32"/>
      <c r="O7" s="32"/>
      <c r="P7" s="32"/>
      <c r="Q7" s="32"/>
      <c r="R7" s="32"/>
      <c r="S7" s="32"/>
      <c r="T7" s="32"/>
      <c r="V7" s="143"/>
      <c r="W7" s="146"/>
      <c r="X7" s="166"/>
    </row>
    <row r="8" spans="1:27" ht="21" customHeight="1">
      <c r="G8" s="145" t="s">
        <v>706</v>
      </c>
      <c r="H8" s="32"/>
      <c r="I8" s="32"/>
      <c r="J8" s="32"/>
      <c r="K8" s="32"/>
      <c r="L8" s="32"/>
      <c r="M8" s="32"/>
      <c r="N8" s="32"/>
      <c r="O8" s="32"/>
      <c r="P8" s="32"/>
      <c r="Q8" s="32"/>
      <c r="R8" s="32"/>
      <c r="S8" s="32"/>
      <c r="T8" s="32"/>
      <c r="V8" s="143"/>
      <c r="W8" s="146"/>
      <c r="X8" s="166"/>
    </row>
    <row r="9" spans="1:27" ht="21" customHeight="1">
      <c r="G9" s="145" t="s">
        <v>1855</v>
      </c>
      <c r="H9" s="32"/>
      <c r="I9" s="32"/>
      <c r="J9" s="32"/>
      <c r="K9" s="32"/>
      <c r="L9" s="32"/>
      <c r="M9" s="32"/>
      <c r="N9" s="32"/>
      <c r="O9" s="32"/>
      <c r="P9" s="32"/>
      <c r="Q9" s="32"/>
      <c r="R9" s="32"/>
      <c r="S9" s="32"/>
      <c r="T9" s="32"/>
      <c r="V9" s="143"/>
      <c r="W9" s="146"/>
      <c r="X9" s="166"/>
    </row>
    <row r="10" spans="1:27" ht="21" customHeight="1">
      <c r="G10" s="145" t="s">
        <v>1854</v>
      </c>
      <c r="H10" s="32"/>
      <c r="I10" s="32"/>
      <c r="J10" s="32"/>
      <c r="K10" s="32"/>
      <c r="L10" s="32"/>
      <c r="M10" s="32"/>
      <c r="N10" s="32"/>
      <c r="O10" s="32"/>
      <c r="P10" s="32"/>
      <c r="Q10" s="32"/>
      <c r="R10" s="32"/>
      <c r="S10" s="32"/>
      <c r="T10" s="32"/>
      <c r="V10" s="146"/>
      <c r="W10" s="146"/>
      <c r="X10" s="166"/>
    </row>
    <row r="11" spans="1:27" ht="21" customHeight="1">
      <c r="G11" s="145" t="s">
        <v>1851</v>
      </c>
      <c r="H11" s="32"/>
      <c r="I11" s="32"/>
      <c r="J11" s="32"/>
      <c r="K11" s="32"/>
      <c r="L11" s="32"/>
      <c r="M11" s="32"/>
      <c r="N11" s="32"/>
      <c r="O11" s="32"/>
      <c r="P11" s="32"/>
      <c r="Q11" s="32"/>
      <c r="R11" s="32"/>
      <c r="S11" s="32"/>
      <c r="T11" s="32"/>
    </row>
    <row r="12" spans="1:27" ht="21" customHeight="1">
      <c r="H12" s="32"/>
      <c r="I12" s="32"/>
      <c r="J12" s="32"/>
      <c r="K12" s="32"/>
      <c r="L12" s="32"/>
      <c r="M12" s="32"/>
      <c r="N12" s="32"/>
      <c r="O12" s="32"/>
      <c r="P12" s="32"/>
      <c r="Q12" s="32"/>
      <c r="R12" s="32"/>
      <c r="S12" s="32"/>
      <c r="T12" s="32"/>
    </row>
    <row r="13" spans="1:27" ht="5.25" customHeight="1">
      <c r="H13" s="32"/>
      <c r="I13" s="32"/>
      <c r="J13" s="32"/>
      <c r="K13" s="32"/>
      <c r="L13" s="32"/>
      <c r="M13" s="32"/>
      <c r="N13" s="32"/>
      <c r="O13" s="32"/>
      <c r="P13" s="32"/>
      <c r="Q13" s="32"/>
      <c r="R13" s="32"/>
      <c r="S13" s="32"/>
      <c r="T13" s="32"/>
    </row>
    <row r="14" spans="1:27" ht="36.75" customHeight="1">
      <c r="V14" s="284" t="s">
        <v>1690</v>
      </c>
      <c r="W14" s="284"/>
      <c r="X14" s="284"/>
      <c r="Y14" s="285" t="s">
        <v>1690</v>
      </c>
      <c r="Z14" s="285"/>
      <c r="AA14" s="285"/>
    </row>
    <row r="15" spans="1:27" ht="27.75" customHeight="1">
      <c r="A15" s="292" t="s">
        <v>1102</v>
      </c>
      <c r="B15" s="292"/>
      <c r="C15" s="292"/>
      <c r="D15" s="292"/>
      <c r="E15" s="292"/>
      <c r="F15" s="292"/>
      <c r="G15" s="247" t="s">
        <v>1114</v>
      </c>
      <c r="H15" s="248"/>
      <c r="I15" s="248"/>
      <c r="J15" s="248"/>
      <c r="K15" s="248"/>
      <c r="L15" s="248"/>
      <c r="M15" s="248"/>
      <c r="N15" s="248"/>
      <c r="O15" s="248"/>
      <c r="P15" s="248"/>
      <c r="Q15" s="248"/>
      <c r="R15" s="248"/>
      <c r="S15" s="248"/>
      <c r="T15" s="248"/>
      <c r="U15" s="248"/>
      <c r="V15" s="247" t="s">
        <v>1706</v>
      </c>
      <c r="W15" s="248"/>
      <c r="X15" s="249"/>
      <c r="Y15" s="247" t="s">
        <v>1691</v>
      </c>
      <c r="Z15" s="248"/>
      <c r="AA15" s="249"/>
    </row>
    <row r="16" spans="1:27" ht="15" customHeight="1">
      <c r="A16" s="258" t="s">
        <v>1236</v>
      </c>
      <c r="B16" s="258" t="s">
        <v>703</v>
      </c>
      <c r="C16" s="258" t="s">
        <v>700</v>
      </c>
      <c r="D16" s="294" t="s">
        <v>701</v>
      </c>
      <c r="E16" s="295"/>
      <c r="F16" s="258" t="s">
        <v>704</v>
      </c>
      <c r="G16" s="256" t="s">
        <v>711</v>
      </c>
      <c r="H16" s="256" t="s">
        <v>703</v>
      </c>
      <c r="I16" s="256" t="s">
        <v>698</v>
      </c>
      <c r="J16" s="256" t="s">
        <v>699</v>
      </c>
      <c r="K16" s="256" t="s">
        <v>702</v>
      </c>
      <c r="L16" s="256" t="s">
        <v>700</v>
      </c>
      <c r="M16" s="296" t="s">
        <v>451</v>
      </c>
      <c r="N16" s="167" t="s">
        <v>701</v>
      </c>
      <c r="O16" s="168"/>
      <c r="P16" s="168"/>
      <c r="Q16" s="168"/>
      <c r="R16" s="169"/>
      <c r="S16" s="256" t="s">
        <v>704</v>
      </c>
      <c r="T16" s="289" t="s">
        <v>718</v>
      </c>
      <c r="U16" s="256" t="s">
        <v>727</v>
      </c>
      <c r="V16" s="250" t="s">
        <v>1021</v>
      </c>
      <c r="W16" s="250" t="s">
        <v>1693</v>
      </c>
      <c r="X16" s="250" t="s">
        <v>1707</v>
      </c>
      <c r="Y16" s="286" t="s">
        <v>1692</v>
      </c>
      <c r="Z16" s="245" t="s">
        <v>1693</v>
      </c>
      <c r="AA16" s="245" t="s">
        <v>1694</v>
      </c>
    </row>
    <row r="17" spans="1:29" ht="35.25" customHeight="1">
      <c r="A17" s="293"/>
      <c r="B17" s="293"/>
      <c r="C17" s="293"/>
      <c r="D17" s="170" t="s">
        <v>1107</v>
      </c>
      <c r="E17" s="170" t="s">
        <v>1108</v>
      </c>
      <c r="F17" s="293"/>
      <c r="G17" s="256"/>
      <c r="H17" s="256"/>
      <c r="I17" s="256" t="s">
        <v>698</v>
      </c>
      <c r="J17" s="256"/>
      <c r="K17" s="256"/>
      <c r="L17" s="256" t="s">
        <v>700</v>
      </c>
      <c r="M17" s="296"/>
      <c r="N17" s="171">
        <v>2012</v>
      </c>
      <c r="O17" s="172">
        <v>2013</v>
      </c>
      <c r="P17" s="171">
        <v>2014</v>
      </c>
      <c r="Q17" s="171">
        <v>2015</v>
      </c>
      <c r="R17" s="171">
        <v>2016</v>
      </c>
      <c r="S17" s="256" t="s">
        <v>704</v>
      </c>
      <c r="T17" s="290"/>
      <c r="U17" s="256"/>
      <c r="V17" s="251"/>
      <c r="W17" s="251"/>
      <c r="X17" s="251"/>
      <c r="Y17" s="287"/>
      <c r="Z17" s="251" t="s">
        <v>1021</v>
      </c>
      <c r="AA17" s="251" t="s">
        <v>1021</v>
      </c>
    </row>
    <row r="18" spans="1:29" s="57" customFormat="1" ht="109.5" customHeight="1">
      <c r="A18" s="234" t="s">
        <v>1238</v>
      </c>
      <c r="B18" s="234" t="s">
        <v>1542</v>
      </c>
      <c r="C18" s="89" t="s">
        <v>1536</v>
      </c>
      <c r="D18" s="63">
        <v>40909</v>
      </c>
      <c r="E18" s="63">
        <v>44896</v>
      </c>
      <c r="F18" s="59" t="s">
        <v>1119</v>
      </c>
      <c r="G18" s="128" t="s">
        <v>1115</v>
      </c>
      <c r="H18" s="133"/>
      <c r="I18" s="133"/>
      <c r="J18" s="108" t="s">
        <v>1368</v>
      </c>
      <c r="K18" s="133" t="s">
        <v>1533</v>
      </c>
      <c r="L18" s="133" t="s">
        <v>1282</v>
      </c>
      <c r="M18" s="53">
        <v>1</v>
      </c>
      <c r="N18" s="53">
        <v>0.2</v>
      </c>
      <c r="O18" s="53">
        <v>0.2</v>
      </c>
      <c r="P18" s="53">
        <v>0.2</v>
      </c>
      <c r="Q18" s="53">
        <v>0.2</v>
      </c>
      <c r="R18" s="53">
        <v>0.2</v>
      </c>
      <c r="S18" s="133" t="s">
        <v>1119</v>
      </c>
      <c r="T18" s="173"/>
      <c r="U18" s="173"/>
      <c r="V18" s="34"/>
      <c r="W18" s="53">
        <v>1</v>
      </c>
      <c r="X18" s="34"/>
      <c r="Y18" s="34"/>
      <c r="Z18" s="157"/>
      <c r="AA18" s="157"/>
    </row>
    <row r="19" spans="1:29" s="57" customFormat="1" ht="112.5" customHeight="1">
      <c r="A19" s="238"/>
      <c r="B19" s="238"/>
      <c r="C19" s="133" t="s">
        <v>1537</v>
      </c>
      <c r="D19" s="90">
        <v>40909</v>
      </c>
      <c r="E19" s="90">
        <v>44896</v>
      </c>
      <c r="F19" s="59" t="s">
        <v>1120</v>
      </c>
      <c r="G19" s="128" t="s">
        <v>1115</v>
      </c>
      <c r="H19" s="173"/>
      <c r="I19" s="173"/>
      <c r="J19" s="108" t="s">
        <v>1369</v>
      </c>
      <c r="K19" s="226" t="s">
        <v>1534</v>
      </c>
      <c r="L19" s="133" t="s">
        <v>1347</v>
      </c>
      <c r="M19" s="53">
        <v>1</v>
      </c>
      <c r="N19" s="53">
        <v>0.2</v>
      </c>
      <c r="O19" s="53">
        <v>0.2</v>
      </c>
      <c r="P19" s="53">
        <v>0.2</v>
      </c>
      <c r="Q19" s="53">
        <v>0.2</v>
      </c>
      <c r="R19" s="53">
        <v>0.2</v>
      </c>
      <c r="S19" s="59" t="s">
        <v>1120</v>
      </c>
      <c r="T19" s="173"/>
      <c r="U19" s="173"/>
      <c r="V19" s="34"/>
      <c r="W19" s="53">
        <v>0</v>
      </c>
      <c r="X19" s="174" t="s">
        <v>1845</v>
      </c>
      <c r="Y19" s="34"/>
      <c r="Z19" s="157"/>
      <c r="AA19" s="157"/>
    </row>
    <row r="20" spans="1:29" s="57" customFormat="1" ht="177" customHeight="1">
      <c r="A20" s="76"/>
      <c r="B20" s="76"/>
      <c r="C20" s="133" t="s">
        <v>1538</v>
      </c>
      <c r="D20" s="63">
        <v>40909</v>
      </c>
      <c r="E20" s="63">
        <v>44896</v>
      </c>
      <c r="F20" s="64" t="s">
        <v>1120</v>
      </c>
      <c r="G20" s="128" t="s">
        <v>1115</v>
      </c>
      <c r="H20" s="173"/>
      <c r="I20" s="173"/>
      <c r="J20" s="108" t="s">
        <v>1374</v>
      </c>
      <c r="K20" s="133" t="s">
        <v>1535</v>
      </c>
      <c r="L20" s="133" t="s">
        <v>1346</v>
      </c>
      <c r="M20" s="53">
        <v>1</v>
      </c>
      <c r="N20" s="53">
        <v>0.2</v>
      </c>
      <c r="O20" s="53">
        <v>0.2</v>
      </c>
      <c r="P20" s="53">
        <v>0.2</v>
      </c>
      <c r="Q20" s="53">
        <v>0.2</v>
      </c>
      <c r="R20" s="53">
        <v>0.2</v>
      </c>
      <c r="S20" s="64" t="s">
        <v>1120</v>
      </c>
      <c r="T20" s="173"/>
      <c r="U20" s="173"/>
      <c r="V20" s="34"/>
      <c r="W20" s="53">
        <v>1</v>
      </c>
      <c r="X20" s="34"/>
      <c r="Y20" s="34"/>
      <c r="Z20" s="157"/>
      <c r="AA20" s="157"/>
    </row>
    <row r="21" spans="1:29" s="57" customFormat="1" ht="175.5" customHeight="1">
      <c r="A21" s="34"/>
      <c r="B21" s="34"/>
      <c r="C21" s="133" t="s">
        <v>1532</v>
      </c>
      <c r="D21" s="58">
        <v>40909</v>
      </c>
      <c r="E21" s="58">
        <v>44896</v>
      </c>
      <c r="F21" s="59" t="s">
        <v>1120</v>
      </c>
      <c r="G21" s="128" t="s">
        <v>1115</v>
      </c>
      <c r="H21" s="133" t="s">
        <v>671</v>
      </c>
      <c r="I21" s="133" t="s">
        <v>725</v>
      </c>
      <c r="J21" s="108" t="s">
        <v>672</v>
      </c>
      <c r="K21" s="133" t="s">
        <v>1684</v>
      </c>
      <c r="L21" s="133" t="s">
        <v>239</v>
      </c>
      <c r="M21" s="53">
        <v>1</v>
      </c>
      <c r="N21" s="113">
        <v>0.2</v>
      </c>
      <c r="O21" s="112">
        <v>0.2</v>
      </c>
      <c r="P21" s="53">
        <v>0.2</v>
      </c>
      <c r="Q21" s="53">
        <v>0.2</v>
      </c>
      <c r="R21" s="53">
        <v>0.2</v>
      </c>
      <c r="S21" s="133" t="s">
        <v>816</v>
      </c>
      <c r="T21" s="34" t="s">
        <v>817</v>
      </c>
      <c r="U21" s="133" t="s">
        <v>737</v>
      </c>
      <c r="V21" s="174" t="s">
        <v>1095</v>
      </c>
      <c r="W21" s="156">
        <v>1</v>
      </c>
      <c r="X21" s="157"/>
      <c r="Y21" s="174" t="s">
        <v>1708</v>
      </c>
      <c r="Z21" s="157"/>
      <c r="AA21" s="157"/>
    </row>
    <row r="22" spans="1:29" s="57" customFormat="1" ht="232.5" customHeight="1">
      <c r="A22" s="128"/>
      <c r="B22" s="133"/>
      <c r="C22" s="133" t="s">
        <v>1649</v>
      </c>
      <c r="D22" s="58">
        <v>40909</v>
      </c>
      <c r="E22" s="58">
        <v>42705</v>
      </c>
      <c r="F22" s="59" t="s">
        <v>1120</v>
      </c>
      <c r="G22" s="128" t="s">
        <v>1115</v>
      </c>
      <c r="H22" s="133" t="s">
        <v>671</v>
      </c>
      <c r="I22" s="133" t="s">
        <v>725</v>
      </c>
      <c r="J22" s="108" t="s">
        <v>673</v>
      </c>
      <c r="K22" s="133" t="s">
        <v>676</v>
      </c>
      <c r="L22" s="133" t="s">
        <v>240</v>
      </c>
      <c r="M22" s="53">
        <v>1</v>
      </c>
      <c r="N22" s="113">
        <v>0.2</v>
      </c>
      <c r="O22" s="112">
        <v>0.2</v>
      </c>
      <c r="P22" s="53">
        <v>0.2</v>
      </c>
      <c r="Q22" s="53">
        <v>0.2</v>
      </c>
      <c r="R22" s="53">
        <v>0.2</v>
      </c>
      <c r="S22" s="133" t="s">
        <v>813</v>
      </c>
      <c r="T22" s="133"/>
      <c r="U22" s="133" t="s">
        <v>241</v>
      </c>
      <c r="V22" s="60" t="s">
        <v>1018</v>
      </c>
      <c r="W22" s="123">
        <v>1</v>
      </c>
      <c r="X22" s="60"/>
      <c r="Y22" s="60" t="s">
        <v>1709</v>
      </c>
      <c r="Z22" s="157"/>
      <c r="AA22" s="157"/>
    </row>
    <row r="23" spans="1:29" s="57" customFormat="1" ht="272.25" customHeight="1">
      <c r="A23" s="128"/>
      <c r="B23" s="133"/>
      <c r="C23" s="133"/>
      <c r="D23" s="58"/>
      <c r="E23" s="58"/>
      <c r="F23" s="133"/>
      <c r="G23" s="128" t="s">
        <v>1115</v>
      </c>
      <c r="H23" s="34"/>
      <c r="I23" s="34"/>
      <c r="J23" s="108" t="s">
        <v>674</v>
      </c>
      <c r="K23" s="133" t="s">
        <v>677</v>
      </c>
      <c r="L23" s="133" t="s">
        <v>242</v>
      </c>
      <c r="M23" s="53">
        <v>1</v>
      </c>
      <c r="N23" s="113">
        <v>0.2</v>
      </c>
      <c r="O23" s="112">
        <v>0.2</v>
      </c>
      <c r="P23" s="53">
        <v>0.2</v>
      </c>
      <c r="Q23" s="53">
        <v>0.2</v>
      </c>
      <c r="R23" s="53">
        <v>0.2</v>
      </c>
      <c r="S23" s="133" t="s">
        <v>813</v>
      </c>
      <c r="T23" s="34"/>
      <c r="U23" s="288" t="s">
        <v>243</v>
      </c>
      <c r="V23" s="174" t="s">
        <v>1846</v>
      </c>
      <c r="W23" s="156">
        <v>0.9</v>
      </c>
      <c r="X23" s="174" t="s">
        <v>1847</v>
      </c>
      <c r="Y23" s="60" t="s">
        <v>1710</v>
      </c>
      <c r="Z23" s="157"/>
      <c r="AA23" s="157"/>
    </row>
    <row r="24" spans="1:29" s="57" customFormat="1" ht="144" customHeight="1">
      <c r="A24" s="128"/>
      <c r="B24" s="133"/>
      <c r="C24" s="133"/>
      <c r="D24" s="50"/>
      <c r="E24" s="50"/>
      <c r="F24" s="133"/>
      <c r="G24" s="128" t="s">
        <v>1115</v>
      </c>
      <c r="H24" s="34"/>
      <c r="I24" s="34"/>
      <c r="J24" s="108" t="s">
        <v>675</v>
      </c>
      <c r="K24" s="226" t="s">
        <v>678</v>
      </c>
      <c r="L24" s="133" t="s">
        <v>466</v>
      </c>
      <c r="M24" s="53">
        <v>0.8</v>
      </c>
      <c r="N24" s="113">
        <v>0.2</v>
      </c>
      <c r="O24" s="112">
        <v>0.2</v>
      </c>
      <c r="P24" s="53">
        <v>0.2</v>
      </c>
      <c r="Q24" s="53">
        <v>0.2</v>
      </c>
      <c r="R24" s="53">
        <v>0.2</v>
      </c>
      <c r="S24" s="133" t="s">
        <v>813</v>
      </c>
      <c r="T24" s="34"/>
      <c r="U24" s="288"/>
      <c r="V24" s="174" t="s">
        <v>1100</v>
      </c>
      <c r="W24" s="53">
        <v>0.87</v>
      </c>
      <c r="X24" s="174" t="s">
        <v>1849</v>
      </c>
      <c r="Y24" s="174" t="s">
        <v>1711</v>
      </c>
      <c r="Z24" s="157"/>
      <c r="AA24" s="157"/>
      <c r="AC24" s="57">
        <f>13/15</f>
        <v>0.8666666666666667</v>
      </c>
    </row>
    <row r="25" spans="1:29" s="57" customFormat="1" ht="148.5" customHeight="1">
      <c r="A25" s="128"/>
      <c r="B25" s="133"/>
      <c r="C25" s="133"/>
      <c r="D25" s="50"/>
      <c r="E25" s="50"/>
      <c r="F25" s="133"/>
      <c r="G25" s="128" t="s">
        <v>1115</v>
      </c>
      <c r="H25" s="34"/>
      <c r="I25" s="34"/>
      <c r="J25" s="133"/>
      <c r="K25" s="226" t="s">
        <v>679</v>
      </c>
      <c r="L25" s="133" t="s">
        <v>467</v>
      </c>
      <c r="M25" s="53">
        <v>0.2</v>
      </c>
      <c r="N25" s="113">
        <v>0.2</v>
      </c>
      <c r="O25" s="112">
        <v>0.2</v>
      </c>
      <c r="P25" s="53">
        <v>0.2</v>
      </c>
      <c r="Q25" s="53">
        <v>0.2</v>
      </c>
      <c r="R25" s="53">
        <v>0.2</v>
      </c>
      <c r="S25" s="133" t="s">
        <v>813</v>
      </c>
      <c r="T25" s="34"/>
      <c r="U25" s="288"/>
      <c r="V25" s="174" t="s">
        <v>1028</v>
      </c>
      <c r="W25" s="156">
        <v>0.64</v>
      </c>
      <c r="X25" s="174" t="s">
        <v>1816</v>
      </c>
      <c r="Y25" s="174" t="s">
        <v>1712</v>
      </c>
      <c r="Z25" s="157"/>
      <c r="AA25" s="157"/>
    </row>
    <row r="26" spans="1:29" s="57" customFormat="1" ht="27" hidden="1" customHeight="1">
      <c r="A26" s="128"/>
      <c r="B26" s="133"/>
      <c r="C26" s="133"/>
      <c r="D26" s="50"/>
      <c r="E26" s="50"/>
      <c r="F26" s="133"/>
      <c r="G26" s="128" t="s">
        <v>1115</v>
      </c>
      <c r="H26" s="34"/>
      <c r="I26" s="34"/>
      <c r="J26" s="133"/>
      <c r="K26" s="133"/>
      <c r="L26" s="133"/>
      <c r="M26" s="53"/>
      <c r="N26" s="61"/>
      <c r="O26" s="61"/>
      <c r="P26" s="61"/>
      <c r="Q26" s="61"/>
      <c r="R26" s="61"/>
      <c r="S26" s="133"/>
      <c r="T26" s="34"/>
      <c r="U26" s="133"/>
      <c r="V26" s="174" t="s">
        <v>1713</v>
      </c>
      <c r="W26" s="156"/>
      <c r="X26" s="157"/>
      <c r="Y26" s="60" t="s">
        <v>1714</v>
      </c>
      <c r="Z26" s="157"/>
      <c r="AA26" s="157"/>
    </row>
    <row r="27" spans="1:29" s="57" customFormat="1" ht="223.5" customHeight="1">
      <c r="A27" s="128"/>
      <c r="B27" s="133"/>
      <c r="C27" s="133"/>
      <c r="D27" s="50"/>
      <c r="E27" s="50"/>
      <c r="F27" s="133"/>
      <c r="G27" s="128" t="s">
        <v>1115</v>
      </c>
      <c r="H27" s="34"/>
      <c r="I27" s="34"/>
      <c r="J27" s="108" t="s">
        <v>214</v>
      </c>
      <c r="K27" s="133" t="s">
        <v>215</v>
      </c>
      <c r="L27" s="133" t="s">
        <v>820</v>
      </c>
      <c r="M27" s="53">
        <v>0.5</v>
      </c>
      <c r="N27" s="113">
        <v>1</v>
      </c>
      <c r="O27" s="53"/>
      <c r="P27" s="61"/>
      <c r="Q27" s="61"/>
      <c r="R27" s="61"/>
      <c r="S27" s="133" t="s">
        <v>885</v>
      </c>
      <c r="T27" s="133" t="s">
        <v>721</v>
      </c>
      <c r="U27" s="288" t="s">
        <v>738</v>
      </c>
      <c r="V27" s="60" t="s">
        <v>1029</v>
      </c>
      <c r="W27" s="53">
        <v>1</v>
      </c>
      <c r="X27" s="34"/>
      <c r="Y27" s="34"/>
      <c r="Z27" s="157"/>
      <c r="AA27" s="157"/>
    </row>
    <row r="28" spans="1:29" s="57" customFormat="1" ht="102" hidden="1" customHeight="1">
      <c r="A28" s="128"/>
      <c r="B28" s="133"/>
      <c r="C28" s="133"/>
      <c r="D28" s="50"/>
      <c r="E28" s="50"/>
      <c r="F28" s="133"/>
      <c r="G28" s="128" t="s">
        <v>1115</v>
      </c>
      <c r="H28" s="34"/>
      <c r="I28" s="34"/>
      <c r="J28" s="133"/>
      <c r="K28" s="133" t="s">
        <v>229</v>
      </c>
      <c r="L28" s="133" t="s">
        <v>230</v>
      </c>
      <c r="M28" s="53">
        <v>0.3</v>
      </c>
      <c r="N28" s="61"/>
      <c r="O28" s="53">
        <v>0.25</v>
      </c>
      <c r="P28" s="53">
        <v>0.25</v>
      </c>
      <c r="Q28" s="53">
        <v>0.25</v>
      </c>
      <c r="R28" s="53">
        <v>0.25</v>
      </c>
      <c r="S28" s="133" t="s">
        <v>885</v>
      </c>
      <c r="T28" s="34"/>
      <c r="U28" s="288"/>
      <c r="V28" s="34"/>
      <c r="W28" s="53"/>
      <c r="X28" s="34"/>
      <c r="Y28" s="34"/>
      <c r="Z28" s="157"/>
      <c r="AA28" s="157"/>
    </row>
    <row r="29" spans="1:29" s="57" customFormat="1" ht="99" customHeight="1">
      <c r="A29" s="128"/>
      <c r="B29" s="133"/>
      <c r="C29" s="133"/>
      <c r="D29" s="50"/>
      <c r="E29" s="50"/>
      <c r="F29" s="133"/>
      <c r="G29" s="128" t="s">
        <v>1115</v>
      </c>
      <c r="H29" s="34"/>
      <c r="I29" s="34"/>
      <c r="J29" s="133"/>
      <c r="K29" s="133" t="s">
        <v>216</v>
      </c>
      <c r="L29" s="133" t="s">
        <v>886</v>
      </c>
      <c r="M29" s="53">
        <v>0.1</v>
      </c>
      <c r="N29" s="113">
        <v>0.2</v>
      </c>
      <c r="O29" s="53">
        <v>0.2</v>
      </c>
      <c r="P29" s="53">
        <v>0.2</v>
      </c>
      <c r="Q29" s="53">
        <v>0.2</v>
      </c>
      <c r="R29" s="53">
        <v>0.2</v>
      </c>
      <c r="S29" s="133" t="s">
        <v>887</v>
      </c>
      <c r="T29" s="133" t="s">
        <v>888</v>
      </c>
      <c r="U29" s="133" t="s">
        <v>889</v>
      </c>
      <c r="V29" s="60" t="s">
        <v>1030</v>
      </c>
      <c r="W29" s="156">
        <v>1</v>
      </c>
      <c r="X29" s="157"/>
      <c r="Y29" s="174"/>
      <c r="Z29" s="157"/>
      <c r="AA29" s="157"/>
    </row>
    <row r="30" spans="1:29" s="57" customFormat="1" ht="75.75" customHeight="1">
      <c r="A30" s="128"/>
      <c r="B30" s="133"/>
      <c r="C30" s="133"/>
      <c r="D30" s="50"/>
      <c r="E30" s="50"/>
      <c r="F30" s="133"/>
      <c r="G30" s="128" t="s">
        <v>1115</v>
      </c>
      <c r="H30" s="34"/>
      <c r="I30" s="34"/>
      <c r="J30" s="133"/>
      <c r="K30" s="133" t="s">
        <v>280</v>
      </c>
      <c r="L30" s="133" t="s">
        <v>895</v>
      </c>
      <c r="M30" s="53">
        <v>0.1</v>
      </c>
      <c r="N30" s="113">
        <v>1</v>
      </c>
      <c r="O30" s="53"/>
      <c r="P30" s="61"/>
      <c r="Q30" s="61"/>
      <c r="R30" s="61"/>
      <c r="S30" s="133" t="s">
        <v>887</v>
      </c>
      <c r="T30" s="133" t="s">
        <v>897</v>
      </c>
      <c r="U30" s="133" t="s">
        <v>896</v>
      </c>
      <c r="V30" s="174" t="s">
        <v>1031</v>
      </c>
      <c r="W30" s="156">
        <v>1</v>
      </c>
      <c r="X30" s="157"/>
      <c r="Y30" s="174"/>
      <c r="Z30" s="157"/>
      <c r="AA30" s="157"/>
    </row>
    <row r="31" spans="1:29" s="57" customFormat="1" ht="189" customHeight="1">
      <c r="A31" s="128"/>
      <c r="B31" s="133"/>
      <c r="C31" s="133"/>
      <c r="D31" s="50"/>
      <c r="E31" s="50"/>
      <c r="F31" s="133"/>
      <c r="G31" s="128" t="s">
        <v>1115</v>
      </c>
      <c r="H31" s="34"/>
      <c r="I31" s="34"/>
      <c r="J31" s="133" t="s">
        <v>218</v>
      </c>
      <c r="K31" s="133" t="s">
        <v>219</v>
      </c>
      <c r="L31" s="133" t="s">
        <v>503</v>
      </c>
      <c r="M31" s="53">
        <v>1</v>
      </c>
      <c r="N31" s="113">
        <v>0.25</v>
      </c>
      <c r="O31" s="112">
        <v>0.25</v>
      </c>
      <c r="P31" s="53">
        <v>0.25</v>
      </c>
      <c r="Q31" s="53">
        <v>0.25</v>
      </c>
      <c r="R31" s="55"/>
      <c r="S31" s="133" t="s">
        <v>893</v>
      </c>
      <c r="T31" s="34"/>
      <c r="U31" s="133" t="s">
        <v>504</v>
      </c>
      <c r="V31" s="133" t="s">
        <v>1098</v>
      </c>
      <c r="W31" s="156">
        <v>1</v>
      </c>
      <c r="X31" s="157"/>
      <c r="Y31" s="60" t="s">
        <v>1717</v>
      </c>
      <c r="Z31" s="157"/>
      <c r="AA31" s="157"/>
    </row>
    <row r="32" spans="1:29" s="57" customFormat="1" ht="238.5" customHeight="1">
      <c r="A32" s="128"/>
      <c r="B32" s="133"/>
      <c r="C32" s="133"/>
      <c r="D32" s="50"/>
      <c r="E32" s="50"/>
      <c r="F32" s="133"/>
      <c r="G32" s="128" t="s">
        <v>1115</v>
      </c>
      <c r="H32" s="34"/>
      <c r="I32" s="34"/>
      <c r="J32" s="133" t="s">
        <v>220</v>
      </c>
      <c r="K32" s="226" t="s">
        <v>221</v>
      </c>
      <c r="L32" s="133" t="s">
        <v>720</v>
      </c>
      <c r="M32" s="53">
        <v>0.3</v>
      </c>
      <c r="N32" s="53">
        <v>1</v>
      </c>
      <c r="O32" s="53"/>
      <c r="P32" s="53"/>
      <c r="Q32" s="53"/>
      <c r="R32" s="55"/>
      <c r="S32" s="133" t="s">
        <v>548</v>
      </c>
      <c r="T32" s="133" t="s">
        <v>232</v>
      </c>
      <c r="U32" s="288" t="s">
        <v>549</v>
      </c>
      <c r="V32" s="60"/>
      <c r="W32" s="53">
        <v>0.25</v>
      </c>
      <c r="X32" s="133" t="s">
        <v>1810</v>
      </c>
      <c r="Y32" s="175"/>
      <c r="Z32" s="157"/>
      <c r="AA32" s="157"/>
    </row>
    <row r="33" spans="1:27" s="57" customFormat="1" ht="105" hidden="1" customHeight="1">
      <c r="A33" s="128"/>
      <c r="B33" s="133"/>
      <c r="C33" s="133"/>
      <c r="D33" s="50"/>
      <c r="E33" s="50"/>
      <c r="F33" s="133"/>
      <c r="G33" s="128" t="s">
        <v>1115</v>
      </c>
      <c r="H33" s="34"/>
      <c r="I33" s="34"/>
      <c r="J33" s="133"/>
      <c r="K33" s="133" t="s">
        <v>222</v>
      </c>
      <c r="L33" s="133" t="s">
        <v>233</v>
      </c>
      <c r="M33" s="53">
        <v>0.7</v>
      </c>
      <c r="N33" s="53"/>
      <c r="O33" s="53">
        <v>0.25</v>
      </c>
      <c r="P33" s="53">
        <v>0.25</v>
      </c>
      <c r="Q33" s="53">
        <v>0.25</v>
      </c>
      <c r="R33" s="53">
        <v>0.25</v>
      </c>
      <c r="S33" s="133" t="s">
        <v>550</v>
      </c>
      <c r="T33" s="133" t="s">
        <v>232</v>
      </c>
      <c r="U33" s="288"/>
      <c r="V33" s="164"/>
      <c r="W33" s="156"/>
      <c r="X33" s="157"/>
      <c r="Y33" s="175"/>
      <c r="Z33" s="157"/>
      <c r="AA33" s="157"/>
    </row>
    <row r="34" spans="1:27" s="57" customFormat="1" ht="98.25" hidden="1" customHeight="1">
      <c r="A34" s="128"/>
      <c r="B34" s="133"/>
      <c r="C34" s="133"/>
      <c r="D34" s="50"/>
      <c r="E34" s="50"/>
      <c r="F34" s="133"/>
      <c r="G34" s="128" t="s">
        <v>1115</v>
      </c>
      <c r="H34" s="34"/>
      <c r="I34" s="34"/>
      <c r="J34" s="133" t="s">
        <v>223</v>
      </c>
      <c r="K34" s="133" t="s">
        <v>224</v>
      </c>
      <c r="L34" s="133" t="s">
        <v>895</v>
      </c>
      <c r="M34" s="53">
        <v>1</v>
      </c>
      <c r="N34" s="53"/>
      <c r="O34" s="53">
        <v>0.3</v>
      </c>
      <c r="P34" s="53">
        <v>0.7</v>
      </c>
      <c r="Q34" s="53"/>
      <c r="R34" s="55"/>
      <c r="S34" s="133" t="s">
        <v>813</v>
      </c>
      <c r="T34" s="34"/>
      <c r="U34" s="133" t="s">
        <v>571</v>
      </c>
      <c r="V34" s="34"/>
      <c r="W34" s="53"/>
      <c r="X34" s="34"/>
      <c r="Y34" s="175"/>
      <c r="Z34" s="157"/>
      <c r="AA34" s="157"/>
    </row>
    <row r="35" spans="1:27" s="57" customFormat="1" ht="128.25" customHeight="1">
      <c r="A35" s="128"/>
      <c r="B35" s="133"/>
      <c r="C35" s="133"/>
      <c r="D35" s="50"/>
      <c r="E35" s="50"/>
      <c r="F35" s="133"/>
      <c r="G35" s="128" t="s">
        <v>1115</v>
      </c>
      <c r="H35" s="34"/>
      <c r="I35" s="34"/>
      <c r="J35" s="133" t="s">
        <v>225</v>
      </c>
      <c r="K35" s="133" t="s">
        <v>226</v>
      </c>
      <c r="L35" s="133" t="s">
        <v>807</v>
      </c>
      <c r="M35" s="53">
        <v>0.3</v>
      </c>
      <c r="N35" s="113">
        <v>1</v>
      </c>
      <c r="O35" s="61"/>
      <c r="P35" s="61"/>
      <c r="Q35" s="61"/>
      <c r="R35" s="61"/>
      <c r="S35" s="130" t="s">
        <v>507</v>
      </c>
      <c r="T35" s="130" t="s">
        <v>485</v>
      </c>
      <c r="U35" s="133" t="s">
        <v>486</v>
      </c>
      <c r="V35" s="174" t="s">
        <v>1020</v>
      </c>
      <c r="W35" s="53">
        <v>1</v>
      </c>
      <c r="X35" s="157"/>
      <c r="Y35" s="174"/>
      <c r="Z35" s="157"/>
      <c r="AA35" s="157"/>
    </row>
    <row r="36" spans="1:27" s="57" customFormat="1" ht="189.75" customHeight="1">
      <c r="A36" s="128"/>
      <c r="B36" s="133"/>
      <c r="C36" s="133"/>
      <c r="D36" s="50"/>
      <c r="E36" s="50"/>
      <c r="F36" s="133"/>
      <c r="G36" s="128" t="s">
        <v>1115</v>
      </c>
      <c r="H36" s="34"/>
      <c r="I36" s="34"/>
      <c r="J36" s="34"/>
      <c r="K36" s="133" t="s">
        <v>227</v>
      </c>
      <c r="L36" s="133" t="s">
        <v>510</v>
      </c>
      <c r="M36" s="53">
        <v>0.6</v>
      </c>
      <c r="N36" s="113">
        <v>0.2</v>
      </c>
      <c r="O36" s="112">
        <v>0.2</v>
      </c>
      <c r="P36" s="53">
        <v>0.2</v>
      </c>
      <c r="Q36" s="53">
        <v>0.2</v>
      </c>
      <c r="R36" s="53">
        <v>0.2</v>
      </c>
      <c r="S36" s="130" t="s">
        <v>507</v>
      </c>
      <c r="T36" s="127" t="s">
        <v>485</v>
      </c>
      <c r="U36" s="133" t="s">
        <v>487</v>
      </c>
      <c r="V36" s="174" t="s">
        <v>1096</v>
      </c>
      <c r="W36" s="156">
        <v>1</v>
      </c>
      <c r="X36" s="157"/>
      <c r="Y36" s="60" t="s">
        <v>1718</v>
      </c>
      <c r="Z36" s="157"/>
      <c r="AA36" s="157"/>
    </row>
    <row r="37" spans="1:27" s="57" customFormat="1" ht="84" customHeight="1">
      <c r="A37" s="128"/>
      <c r="B37" s="133"/>
      <c r="C37" s="133"/>
      <c r="D37" s="50"/>
      <c r="E37" s="50"/>
      <c r="F37" s="133"/>
      <c r="G37" s="128" t="s">
        <v>1115</v>
      </c>
      <c r="H37" s="34"/>
      <c r="I37" s="34"/>
      <c r="J37" s="133"/>
      <c r="K37" s="133" t="s">
        <v>228</v>
      </c>
      <c r="L37" s="133" t="s">
        <v>818</v>
      </c>
      <c r="M37" s="53">
        <v>0.1</v>
      </c>
      <c r="N37" s="114">
        <v>120</v>
      </c>
      <c r="O37" s="117">
        <v>120</v>
      </c>
      <c r="P37" s="61">
        <v>120</v>
      </c>
      <c r="Q37" s="61">
        <v>120</v>
      </c>
      <c r="R37" s="61">
        <v>120</v>
      </c>
      <c r="S37" s="133" t="s">
        <v>819</v>
      </c>
      <c r="T37" s="34"/>
      <c r="U37" s="133" t="s">
        <v>824</v>
      </c>
      <c r="V37" s="174" t="s">
        <v>1019</v>
      </c>
      <c r="W37" s="156">
        <v>1</v>
      </c>
      <c r="X37" s="157"/>
      <c r="Y37" s="102" t="s">
        <v>1719</v>
      </c>
      <c r="Z37" s="157"/>
      <c r="AA37" s="157"/>
    </row>
    <row r="38" spans="1:27" s="57" customFormat="1" ht="157.5" customHeight="1">
      <c r="A38" s="128"/>
      <c r="B38" s="133"/>
      <c r="C38" s="133" t="s">
        <v>1688</v>
      </c>
      <c r="D38" s="58">
        <v>40909</v>
      </c>
      <c r="E38" s="58">
        <v>42705</v>
      </c>
      <c r="F38" s="133"/>
      <c r="G38" s="128" t="s">
        <v>1115</v>
      </c>
      <c r="H38" s="133" t="s">
        <v>234</v>
      </c>
      <c r="I38" s="133" t="s">
        <v>726</v>
      </c>
      <c r="J38" s="133" t="s">
        <v>235</v>
      </c>
      <c r="K38" s="133" t="s">
        <v>236</v>
      </c>
      <c r="L38" s="133" t="s">
        <v>472</v>
      </c>
      <c r="M38" s="53">
        <v>0.5</v>
      </c>
      <c r="N38" s="53">
        <v>0.2</v>
      </c>
      <c r="O38" s="53">
        <v>0.2</v>
      </c>
      <c r="P38" s="53">
        <v>0.2</v>
      </c>
      <c r="Q38" s="53">
        <v>0.2</v>
      </c>
      <c r="R38" s="53">
        <v>0.2</v>
      </c>
      <c r="S38" s="133" t="s">
        <v>893</v>
      </c>
      <c r="T38" s="34" t="s">
        <v>722</v>
      </c>
      <c r="U38" s="288" t="s">
        <v>739</v>
      </c>
      <c r="V38" s="34"/>
      <c r="W38" s="53">
        <v>1</v>
      </c>
      <c r="X38" s="34"/>
      <c r="Y38" s="34"/>
      <c r="Z38" s="157"/>
      <c r="AA38" s="157"/>
    </row>
    <row r="39" spans="1:27" s="57" customFormat="1" ht="144.75" customHeight="1">
      <c r="A39" s="128"/>
      <c r="B39" s="133"/>
      <c r="C39" s="133"/>
      <c r="D39" s="50"/>
      <c r="E39" s="50"/>
      <c r="F39" s="133"/>
      <c r="G39" s="128" t="s">
        <v>1115</v>
      </c>
      <c r="H39" s="133"/>
      <c r="I39" s="133"/>
      <c r="J39" s="133"/>
      <c r="K39" s="133" t="s">
        <v>680</v>
      </c>
      <c r="L39" s="133" t="s">
        <v>895</v>
      </c>
      <c r="M39" s="53">
        <v>0.5</v>
      </c>
      <c r="N39" s="113">
        <v>0.2</v>
      </c>
      <c r="O39" s="112">
        <v>0.2</v>
      </c>
      <c r="P39" s="53">
        <v>0.2</v>
      </c>
      <c r="Q39" s="53">
        <v>0.2</v>
      </c>
      <c r="R39" s="53">
        <v>0.2</v>
      </c>
      <c r="S39" s="133" t="s">
        <v>893</v>
      </c>
      <c r="T39" s="34"/>
      <c r="U39" s="288"/>
      <c r="V39" s="174" t="s">
        <v>1099</v>
      </c>
      <c r="W39" s="156">
        <v>1</v>
      </c>
      <c r="X39" s="157"/>
      <c r="Y39" s="60" t="s">
        <v>1720</v>
      </c>
      <c r="Z39" s="157"/>
      <c r="AA39" s="157"/>
    </row>
    <row r="40" spans="1:27" s="57" customFormat="1" ht="129.75" customHeight="1">
      <c r="A40" s="128"/>
      <c r="B40" s="133"/>
      <c r="C40" s="133"/>
      <c r="D40" s="50"/>
      <c r="E40" s="50"/>
      <c r="F40" s="133"/>
      <c r="G40" s="128" t="s">
        <v>1115</v>
      </c>
      <c r="H40" s="34"/>
      <c r="I40" s="52"/>
      <c r="J40" s="108" t="s">
        <v>681</v>
      </c>
      <c r="K40" s="133" t="s">
        <v>237</v>
      </c>
      <c r="L40" s="133" t="s">
        <v>720</v>
      </c>
      <c r="M40" s="53">
        <v>0.6</v>
      </c>
      <c r="N40" s="113">
        <v>1</v>
      </c>
      <c r="O40" s="34"/>
      <c r="P40" s="53"/>
      <c r="Q40" s="34"/>
      <c r="R40" s="34"/>
      <c r="S40" s="133" t="s">
        <v>813</v>
      </c>
      <c r="T40" s="34"/>
      <c r="U40" s="60" t="s">
        <v>823</v>
      </c>
      <c r="V40" s="60" t="s">
        <v>1032</v>
      </c>
      <c r="W40" s="53">
        <v>1</v>
      </c>
      <c r="X40" s="157"/>
      <c r="Y40" s="60"/>
      <c r="Z40" s="157"/>
      <c r="AA40" s="157"/>
    </row>
    <row r="41" spans="1:27" s="57" customFormat="1" ht="59.25" hidden="1" customHeight="1">
      <c r="A41" s="128"/>
      <c r="B41" s="133"/>
      <c r="C41" s="133"/>
      <c r="D41" s="34"/>
      <c r="E41" s="34"/>
      <c r="F41" s="34"/>
      <c r="G41" s="128" t="s">
        <v>1115</v>
      </c>
      <c r="H41" s="34"/>
      <c r="I41" s="34"/>
      <c r="J41" s="34"/>
      <c r="K41" s="133" t="s">
        <v>238</v>
      </c>
      <c r="L41" s="133" t="s">
        <v>479</v>
      </c>
      <c r="M41" s="53">
        <v>0.4</v>
      </c>
      <c r="N41" s="53"/>
      <c r="O41" s="53">
        <v>1</v>
      </c>
      <c r="P41" s="34"/>
      <c r="Q41" s="34"/>
      <c r="R41" s="34"/>
      <c r="S41" s="133" t="s">
        <v>813</v>
      </c>
      <c r="T41" s="34"/>
      <c r="U41" s="60"/>
      <c r="V41" s="34"/>
      <c r="W41" s="53"/>
      <c r="X41" s="34"/>
      <c r="Y41" s="116"/>
      <c r="Z41" s="34"/>
      <c r="AA41" s="34"/>
    </row>
    <row r="42" spans="1:27" s="57" customFormat="1" ht="141.75" customHeight="1">
      <c r="A42" s="128" t="s">
        <v>1238</v>
      </c>
      <c r="B42" s="133" t="s">
        <v>1540</v>
      </c>
      <c r="C42" s="133" t="s">
        <v>1541</v>
      </c>
      <c r="D42" s="50">
        <v>40909</v>
      </c>
      <c r="E42" s="50">
        <v>43070</v>
      </c>
      <c r="F42" s="133" t="s">
        <v>1120</v>
      </c>
      <c r="G42" s="128" t="s">
        <v>1115</v>
      </c>
      <c r="H42" s="34"/>
      <c r="I42" s="34"/>
      <c r="J42" s="133" t="s">
        <v>231</v>
      </c>
      <c r="K42" s="133" t="s">
        <v>217</v>
      </c>
      <c r="L42" s="133" t="s">
        <v>811</v>
      </c>
      <c r="M42" s="53">
        <v>1</v>
      </c>
      <c r="N42" s="113">
        <v>1</v>
      </c>
      <c r="O42" s="53"/>
      <c r="P42" s="55"/>
      <c r="Q42" s="55"/>
      <c r="R42" s="55"/>
      <c r="S42" s="133" t="s">
        <v>815</v>
      </c>
      <c r="T42" s="34"/>
      <c r="U42" s="133" t="s">
        <v>825</v>
      </c>
      <c r="V42" s="174" t="s">
        <v>1715</v>
      </c>
      <c r="W42" s="156">
        <v>1</v>
      </c>
      <c r="X42" s="157"/>
      <c r="Y42" s="174" t="s">
        <v>1716</v>
      </c>
      <c r="Z42" s="34"/>
      <c r="AA42" s="34"/>
    </row>
  </sheetData>
  <protectedRanges>
    <protectedRange sqref="V40" name="Rango1_4_3"/>
    <protectedRange sqref="V21" name="Rango1_4_1_1"/>
    <protectedRange sqref="V35" name="Rango1_4_2_1"/>
    <protectedRange sqref="V37" name="Rango1_4_4"/>
  </protectedRanges>
  <autoFilter ref="S3:S41"/>
  <mergeCells count="37">
    <mergeCell ref="B3:T3"/>
    <mergeCell ref="B4:T4"/>
    <mergeCell ref="B5:T5"/>
    <mergeCell ref="A15:F15"/>
    <mergeCell ref="A16:A17"/>
    <mergeCell ref="B16:B17"/>
    <mergeCell ref="C16:C17"/>
    <mergeCell ref="D16:E16"/>
    <mergeCell ref="F16:F17"/>
    <mergeCell ref="H6:T6"/>
    <mergeCell ref="H16:H17"/>
    <mergeCell ref="G15:U15"/>
    <mergeCell ref="G16:G17"/>
    <mergeCell ref="L16:L17"/>
    <mergeCell ref="M16:M17"/>
    <mergeCell ref="U16:U17"/>
    <mergeCell ref="S16:S17"/>
    <mergeCell ref="T16:T17"/>
    <mergeCell ref="I16:I17"/>
    <mergeCell ref="J16:J17"/>
    <mergeCell ref="K16:K17"/>
    <mergeCell ref="U27:U28"/>
    <mergeCell ref="U32:U33"/>
    <mergeCell ref="U38:U39"/>
    <mergeCell ref="B18:B19"/>
    <mergeCell ref="A18:A19"/>
    <mergeCell ref="U23:U25"/>
    <mergeCell ref="V14:X14"/>
    <mergeCell ref="Y14:AA14"/>
    <mergeCell ref="V15:X15"/>
    <mergeCell ref="Y15:AA15"/>
    <mergeCell ref="V16:V17"/>
    <mergeCell ref="W16:W17"/>
    <mergeCell ref="X16:X17"/>
    <mergeCell ref="Y16:Y17"/>
    <mergeCell ref="Z16:Z17"/>
    <mergeCell ref="AA16:AA17"/>
  </mergeCells>
  <phoneticPr fontId="7" type="noConversion"/>
  <printOptions horizontalCentered="1" verticalCentered="1"/>
  <pageMargins left="0.15748031496062992" right="0.15748031496062992" top="0.47244094488188981" bottom="0.47244094488188981" header="0.31496062992125984" footer="0.31496062992125984"/>
  <pageSetup scale="50" orientation="landscape" r:id="rId1"/>
  <legacyDrawing r:id="rId2"/>
</worksheet>
</file>

<file path=xl/worksheets/sheet3.xml><?xml version="1.0" encoding="utf-8"?>
<worksheet xmlns="http://schemas.openxmlformats.org/spreadsheetml/2006/main" xmlns:r="http://schemas.openxmlformats.org/officeDocument/2006/relationships">
  <dimension ref="A2:AB71"/>
  <sheetViews>
    <sheetView topLeftCell="G1" zoomScale="66" zoomScaleNormal="66" workbookViewId="0">
      <pane ySplit="9" topLeftCell="A40" activePane="bottomLeft" state="frozen"/>
      <selection pane="bottomLeft" activeCell="X42" sqref="X42"/>
    </sheetView>
  </sheetViews>
  <sheetFormatPr baseColWidth="10" defaultRowHeight="15"/>
  <cols>
    <col min="1" max="1" width="23.140625" style="31" hidden="1" customWidth="1"/>
    <col min="2" max="2" width="26.42578125" style="31" hidden="1" customWidth="1"/>
    <col min="3" max="3" width="23.140625" style="31" hidden="1" customWidth="1"/>
    <col min="4" max="4" width="10.5703125" style="31" hidden="1" customWidth="1"/>
    <col min="5" max="5" width="9" style="31" hidden="1" customWidth="1"/>
    <col min="6" max="6" width="19.5703125" style="31" hidden="1" customWidth="1"/>
    <col min="7" max="7" width="18.28515625" style="31" customWidth="1"/>
    <col min="8" max="8" width="24.85546875" style="31" customWidth="1"/>
    <col min="9" max="9" width="27.5703125" style="31" customWidth="1"/>
    <col min="10" max="10" width="20.85546875" style="31" customWidth="1"/>
    <col min="11" max="11" width="21.42578125" style="31" customWidth="1"/>
    <col min="12" max="12" width="12.140625" style="31" customWidth="1"/>
    <col min="13" max="13" width="8.42578125" style="31" customWidth="1"/>
    <col min="14" max="14" width="6.42578125" style="31" customWidth="1"/>
    <col min="15" max="15" width="9" style="31" hidden="1" customWidth="1"/>
    <col min="16" max="16" width="7.42578125" style="31" hidden="1" customWidth="1"/>
    <col min="17" max="17" width="7.85546875" style="31" hidden="1" customWidth="1"/>
    <col min="18" max="18" width="8.5703125" style="31" hidden="1" customWidth="1"/>
    <col min="19" max="19" width="21.140625" style="31" customWidth="1"/>
    <col min="20" max="21" width="21.140625" style="31" hidden="1" customWidth="1"/>
    <col min="22" max="22" width="21.140625" style="31" customWidth="1"/>
    <col min="23" max="23" width="14.7109375" style="31" customWidth="1"/>
    <col min="24" max="24" width="23.5703125" style="31" customWidth="1"/>
    <col min="25" max="25" width="19.28515625" style="31" hidden="1" customWidth="1"/>
    <col min="26" max="26" width="16.85546875" style="31" hidden="1" customWidth="1"/>
    <col min="27" max="27" width="15.5703125" style="31" hidden="1" customWidth="1"/>
    <col min="28" max="16384" width="11.42578125" style="31"/>
  </cols>
  <sheetData>
    <row r="2" spans="1:28" ht="23.25">
      <c r="B2" s="145"/>
      <c r="C2" s="145"/>
      <c r="D2" s="145"/>
      <c r="E2" s="145"/>
      <c r="F2" s="145"/>
      <c r="G2" s="145" t="s">
        <v>706</v>
      </c>
      <c r="H2" s="145"/>
      <c r="I2" s="145"/>
      <c r="J2" s="145"/>
      <c r="K2" s="145"/>
      <c r="L2" s="145"/>
      <c r="M2" s="145"/>
      <c r="N2" s="145"/>
      <c r="O2" s="145"/>
      <c r="P2" s="145"/>
      <c r="Q2" s="145"/>
      <c r="R2" s="145"/>
      <c r="S2" s="145"/>
      <c r="T2" s="145" t="s">
        <v>706</v>
      </c>
      <c r="U2" s="145" t="s">
        <v>706</v>
      </c>
      <c r="V2" s="143"/>
      <c r="W2" s="146"/>
      <c r="X2" s="146"/>
      <c r="Y2" s="146"/>
      <c r="Z2" s="146"/>
      <c r="AA2" s="146"/>
      <c r="AB2" s="146"/>
    </row>
    <row r="3" spans="1:28" ht="23.25">
      <c r="B3" s="145"/>
      <c r="C3" s="145"/>
      <c r="D3" s="145"/>
      <c r="E3" s="145"/>
      <c r="F3" s="145"/>
      <c r="G3" s="145" t="s">
        <v>1855</v>
      </c>
      <c r="H3" s="145"/>
      <c r="I3" s="145"/>
      <c r="J3" s="145"/>
      <c r="K3" s="145"/>
      <c r="L3" s="145"/>
      <c r="M3" s="145"/>
      <c r="N3" s="145"/>
      <c r="O3" s="145"/>
      <c r="P3" s="145"/>
      <c r="Q3" s="145"/>
      <c r="R3" s="145"/>
      <c r="S3" s="145"/>
      <c r="T3" s="145" t="s">
        <v>707</v>
      </c>
      <c r="U3" s="145" t="s">
        <v>707</v>
      </c>
      <c r="V3" s="143"/>
      <c r="W3" s="146"/>
      <c r="X3" s="146"/>
      <c r="Y3" s="146"/>
      <c r="Z3" s="146"/>
      <c r="AA3" s="146"/>
      <c r="AB3" s="146"/>
    </row>
    <row r="4" spans="1:28" ht="23.25">
      <c r="B4" s="145"/>
      <c r="C4" s="145"/>
      <c r="D4" s="145"/>
      <c r="E4" s="145"/>
      <c r="F4" s="145"/>
      <c r="G4" s="145" t="s">
        <v>1854</v>
      </c>
      <c r="H4" s="145"/>
      <c r="I4" s="145"/>
      <c r="J4" s="145"/>
      <c r="K4" s="145"/>
      <c r="L4" s="145"/>
      <c r="M4" s="145"/>
      <c r="N4" s="145"/>
      <c r="O4" s="145"/>
      <c r="P4" s="145"/>
      <c r="Q4" s="145"/>
      <c r="R4" s="145"/>
      <c r="S4" s="145"/>
      <c r="T4" s="145" t="s">
        <v>1111</v>
      </c>
      <c r="U4" s="145" t="s">
        <v>1111</v>
      </c>
      <c r="V4" s="143"/>
      <c r="W4" s="146"/>
      <c r="X4" s="146"/>
      <c r="Y4" s="146"/>
      <c r="Z4" s="146"/>
      <c r="AA4" s="146"/>
      <c r="AB4" s="146"/>
    </row>
    <row r="5" spans="1:28" ht="23.25">
      <c r="B5" s="145"/>
      <c r="C5" s="145"/>
      <c r="D5" s="145"/>
      <c r="E5" s="145"/>
      <c r="F5" s="145"/>
      <c r="G5" s="145" t="s">
        <v>1852</v>
      </c>
      <c r="H5" s="145"/>
      <c r="I5" s="145"/>
      <c r="J5" s="145"/>
      <c r="K5" s="145"/>
      <c r="L5" s="145"/>
      <c r="M5" s="145"/>
      <c r="N5" s="145"/>
      <c r="O5" s="145"/>
      <c r="P5" s="145"/>
      <c r="Q5" s="145"/>
      <c r="R5" s="145"/>
      <c r="S5" s="145"/>
      <c r="T5" s="145" t="s">
        <v>1851</v>
      </c>
      <c r="U5" s="145" t="s">
        <v>1851</v>
      </c>
      <c r="V5" s="146"/>
      <c r="W5" s="146"/>
      <c r="X5" s="146"/>
      <c r="Y5" s="146"/>
      <c r="Z5" s="146"/>
      <c r="AA5" s="146"/>
      <c r="AB5" s="146"/>
    </row>
    <row r="7" spans="1:28" ht="32.25" customHeight="1">
      <c r="A7" s="292" t="s">
        <v>1102</v>
      </c>
      <c r="B7" s="292"/>
      <c r="C7" s="292"/>
      <c r="D7" s="292"/>
      <c r="E7" s="292"/>
      <c r="F7" s="292"/>
      <c r="G7" s="259" t="s">
        <v>1114</v>
      </c>
      <c r="H7" s="259"/>
      <c r="I7" s="259"/>
      <c r="J7" s="259"/>
      <c r="K7" s="259"/>
      <c r="L7" s="259"/>
      <c r="M7" s="259"/>
      <c r="N7" s="259"/>
      <c r="O7" s="259"/>
      <c r="P7" s="259"/>
      <c r="Q7" s="259"/>
      <c r="R7" s="259"/>
      <c r="S7" s="259"/>
      <c r="T7" s="259"/>
      <c r="U7" s="259"/>
      <c r="V7" s="304" t="s">
        <v>1690</v>
      </c>
      <c r="W7" s="304"/>
      <c r="X7" s="304"/>
      <c r="Y7" s="285" t="s">
        <v>1690</v>
      </c>
      <c r="Z7" s="285"/>
      <c r="AA7" s="285"/>
    </row>
    <row r="8" spans="1:28" ht="15" customHeight="1">
      <c r="A8" s="258" t="s">
        <v>1236</v>
      </c>
      <c r="B8" s="258" t="s">
        <v>703</v>
      </c>
      <c r="C8" s="258" t="s">
        <v>700</v>
      </c>
      <c r="D8" s="294" t="s">
        <v>701</v>
      </c>
      <c r="E8" s="295"/>
      <c r="F8" s="258" t="s">
        <v>704</v>
      </c>
      <c r="G8" s="256" t="s">
        <v>711</v>
      </c>
      <c r="H8" s="256" t="s">
        <v>703</v>
      </c>
      <c r="I8" s="256" t="s">
        <v>698</v>
      </c>
      <c r="J8" s="256" t="s">
        <v>699</v>
      </c>
      <c r="K8" s="256" t="s">
        <v>702</v>
      </c>
      <c r="L8" s="256" t="s">
        <v>700</v>
      </c>
      <c r="M8" s="296" t="s">
        <v>451</v>
      </c>
      <c r="N8" s="167" t="s">
        <v>701</v>
      </c>
      <c r="O8" s="168"/>
      <c r="P8" s="168"/>
      <c r="Q8" s="168"/>
      <c r="R8" s="169"/>
      <c r="S8" s="256" t="s">
        <v>704</v>
      </c>
      <c r="T8" s="256" t="s">
        <v>718</v>
      </c>
      <c r="U8" s="256" t="s">
        <v>727</v>
      </c>
      <c r="V8" s="247" t="s">
        <v>1706</v>
      </c>
      <c r="W8" s="248"/>
      <c r="X8" s="249"/>
      <c r="Y8" s="247" t="s">
        <v>1691</v>
      </c>
      <c r="Z8" s="248"/>
      <c r="AA8" s="249"/>
    </row>
    <row r="9" spans="1:28" ht="57.75" customHeight="1">
      <c r="A9" s="293"/>
      <c r="B9" s="293"/>
      <c r="C9" s="293"/>
      <c r="D9" s="33" t="s">
        <v>1107</v>
      </c>
      <c r="E9" s="33" t="s">
        <v>1108</v>
      </c>
      <c r="F9" s="293"/>
      <c r="G9" s="256"/>
      <c r="H9" s="256"/>
      <c r="I9" s="256" t="s">
        <v>698</v>
      </c>
      <c r="J9" s="256"/>
      <c r="K9" s="256"/>
      <c r="L9" s="256" t="s">
        <v>700</v>
      </c>
      <c r="M9" s="296"/>
      <c r="N9" s="171">
        <v>2012</v>
      </c>
      <c r="O9" s="172">
        <v>2013</v>
      </c>
      <c r="P9" s="171">
        <v>2014</v>
      </c>
      <c r="Q9" s="171">
        <v>2015</v>
      </c>
      <c r="R9" s="171">
        <v>2016</v>
      </c>
      <c r="S9" s="256" t="s">
        <v>704</v>
      </c>
      <c r="T9" s="256"/>
      <c r="U9" s="256"/>
      <c r="V9" s="176" t="s">
        <v>1021</v>
      </c>
      <c r="W9" s="176" t="s">
        <v>1721</v>
      </c>
      <c r="X9" s="176" t="s">
        <v>1707</v>
      </c>
      <c r="Y9" s="149" t="s">
        <v>1692</v>
      </c>
      <c r="Z9" s="149" t="s">
        <v>1722</v>
      </c>
      <c r="AA9" s="149" t="s">
        <v>1694</v>
      </c>
    </row>
    <row r="10" spans="1:28" s="57" customFormat="1" ht="143.25" customHeight="1">
      <c r="A10" s="133" t="s">
        <v>1235</v>
      </c>
      <c r="B10" s="305" t="s">
        <v>1543</v>
      </c>
      <c r="C10" s="133" t="s">
        <v>1544</v>
      </c>
      <c r="D10" s="63">
        <v>40909</v>
      </c>
      <c r="E10" s="63">
        <v>42705</v>
      </c>
      <c r="F10" s="133" t="s">
        <v>1297</v>
      </c>
      <c r="G10" s="128" t="s">
        <v>1179</v>
      </c>
      <c r="H10" s="133" t="s">
        <v>682</v>
      </c>
      <c r="I10" s="133" t="s">
        <v>864</v>
      </c>
      <c r="J10" s="133" t="s">
        <v>683</v>
      </c>
      <c r="K10" s="226" t="s">
        <v>684</v>
      </c>
      <c r="L10" s="133" t="s">
        <v>744</v>
      </c>
      <c r="M10" s="53">
        <v>1</v>
      </c>
      <c r="N10" s="53">
        <v>0.5</v>
      </c>
      <c r="O10" s="112">
        <v>0.5</v>
      </c>
      <c r="P10" s="61"/>
      <c r="Q10" s="61"/>
      <c r="R10" s="61"/>
      <c r="S10" s="133" t="s">
        <v>745</v>
      </c>
      <c r="T10" s="133"/>
      <c r="U10" s="133" t="s">
        <v>916</v>
      </c>
      <c r="V10" s="136"/>
      <c r="W10" s="54">
        <v>0</v>
      </c>
      <c r="X10" s="136" t="s">
        <v>1845</v>
      </c>
      <c r="Y10" s="136" t="s">
        <v>1723</v>
      </c>
      <c r="Z10" s="177"/>
      <c r="AA10" s="177"/>
    </row>
    <row r="11" spans="1:28" s="57" customFormat="1" ht="171" customHeight="1">
      <c r="A11" s="34"/>
      <c r="B11" s="270"/>
      <c r="C11" s="34"/>
      <c r="D11" s="34"/>
      <c r="E11" s="34"/>
      <c r="F11" s="34"/>
      <c r="G11" s="128" t="s">
        <v>1179</v>
      </c>
      <c r="H11" s="133" t="s">
        <v>685</v>
      </c>
      <c r="I11" s="133" t="s">
        <v>746</v>
      </c>
      <c r="J11" s="133" t="s">
        <v>686</v>
      </c>
      <c r="K11" s="133" t="s">
        <v>252</v>
      </c>
      <c r="L11" s="133" t="s">
        <v>747</v>
      </c>
      <c r="M11" s="53">
        <v>1</v>
      </c>
      <c r="N11" s="113">
        <v>0.2</v>
      </c>
      <c r="O11" s="112">
        <v>0.2</v>
      </c>
      <c r="P11" s="53">
        <v>0.2</v>
      </c>
      <c r="Q11" s="53">
        <v>0.2</v>
      </c>
      <c r="R11" s="53">
        <v>0.2</v>
      </c>
      <c r="S11" s="133" t="s">
        <v>748</v>
      </c>
      <c r="T11" s="133" t="s">
        <v>749</v>
      </c>
      <c r="U11" s="133" t="s">
        <v>750</v>
      </c>
      <c r="V11" s="136" t="s">
        <v>1033</v>
      </c>
      <c r="W11" s="178">
        <v>1</v>
      </c>
      <c r="X11" s="136"/>
      <c r="Y11" s="136" t="s">
        <v>1033</v>
      </c>
      <c r="Z11" s="157"/>
      <c r="AA11" s="157"/>
    </row>
    <row r="12" spans="1:28" s="57" customFormat="1" ht="120">
      <c r="A12" s="34"/>
      <c r="B12" s="133"/>
      <c r="C12" s="34"/>
      <c r="D12" s="34"/>
      <c r="E12" s="34"/>
      <c r="F12" s="34"/>
      <c r="G12" s="128" t="s">
        <v>1179</v>
      </c>
      <c r="H12" s="133"/>
      <c r="I12" s="133"/>
      <c r="J12" s="133" t="s">
        <v>687</v>
      </c>
      <c r="K12" s="133" t="s">
        <v>282</v>
      </c>
      <c r="L12" s="133" t="s">
        <v>752</v>
      </c>
      <c r="M12" s="53">
        <v>1</v>
      </c>
      <c r="N12" s="113">
        <v>0.33</v>
      </c>
      <c r="O12" s="112"/>
      <c r="P12" s="53">
        <v>0.33</v>
      </c>
      <c r="Q12" s="53"/>
      <c r="R12" s="53">
        <v>0.34</v>
      </c>
      <c r="S12" s="133" t="s">
        <v>748</v>
      </c>
      <c r="T12" s="133" t="s">
        <v>753</v>
      </c>
      <c r="U12" s="133" t="s">
        <v>253</v>
      </c>
      <c r="V12" s="136" t="s">
        <v>1034</v>
      </c>
      <c r="W12" s="178">
        <v>1</v>
      </c>
      <c r="X12" s="136"/>
      <c r="Y12" s="136" t="s">
        <v>1724</v>
      </c>
      <c r="Z12" s="157"/>
      <c r="AA12" s="157"/>
    </row>
    <row r="13" spans="1:28" s="57" customFormat="1" ht="150">
      <c r="A13" s="34"/>
      <c r="B13" s="34"/>
      <c r="C13" s="34"/>
      <c r="D13" s="34"/>
      <c r="E13" s="34"/>
      <c r="F13" s="34"/>
      <c r="G13" s="128" t="s">
        <v>1179</v>
      </c>
      <c r="H13" s="133" t="s">
        <v>1298</v>
      </c>
      <c r="I13" s="133" t="s">
        <v>254</v>
      </c>
      <c r="J13" s="133" t="s">
        <v>67</v>
      </c>
      <c r="K13" s="133" t="s">
        <v>68</v>
      </c>
      <c r="L13" s="133" t="s">
        <v>754</v>
      </c>
      <c r="M13" s="53">
        <v>1</v>
      </c>
      <c r="N13" s="113">
        <v>0.2</v>
      </c>
      <c r="O13" s="112">
        <v>0.2</v>
      </c>
      <c r="P13" s="53">
        <v>0.2</v>
      </c>
      <c r="Q13" s="53">
        <v>0.2</v>
      </c>
      <c r="R13" s="53">
        <v>0.2</v>
      </c>
      <c r="S13" s="133" t="s">
        <v>748</v>
      </c>
      <c r="T13" s="133" t="s">
        <v>749</v>
      </c>
      <c r="U13" s="133" t="s">
        <v>755</v>
      </c>
      <c r="V13" s="136" t="s">
        <v>1035</v>
      </c>
      <c r="W13" s="178">
        <v>1</v>
      </c>
      <c r="X13" s="136"/>
      <c r="Y13" s="136" t="s">
        <v>1035</v>
      </c>
      <c r="Z13" s="157"/>
      <c r="AA13" s="157"/>
    </row>
    <row r="14" spans="1:28" s="57" customFormat="1" ht="135.75" customHeight="1">
      <c r="A14" s="34"/>
      <c r="B14" s="34"/>
      <c r="C14" s="34"/>
      <c r="D14" s="34"/>
      <c r="E14" s="34"/>
      <c r="F14" s="34"/>
      <c r="G14" s="128" t="s">
        <v>1179</v>
      </c>
      <c r="H14" s="34"/>
      <c r="I14" s="34"/>
      <c r="J14" s="133" t="s">
        <v>65</v>
      </c>
      <c r="K14" s="133" t="s">
        <v>66</v>
      </c>
      <c r="L14" s="133" t="s">
        <v>756</v>
      </c>
      <c r="M14" s="53">
        <v>1</v>
      </c>
      <c r="N14" s="113">
        <v>0.33</v>
      </c>
      <c r="O14" s="53"/>
      <c r="P14" s="53">
        <v>0.33</v>
      </c>
      <c r="Q14" s="53"/>
      <c r="R14" s="53">
        <v>0.34</v>
      </c>
      <c r="S14" s="133" t="s">
        <v>748</v>
      </c>
      <c r="T14" s="133" t="s">
        <v>757</v>
      </c>
      <c r="U14" s="133" t="s">
        <v>255</v>
      </c>
      <c r="V14" s="136" t="s">
        <v>1036</v>
      </c>
      <c r="W14" s="178">
        <v>0.95</v>
      </c>
      <c r="X14" s="136" t="s">
        <v>1811</v>
      </c>
      <c r="Y14" s="157"/>
      <c r="Z14" s="157"/>
      <c r="AA14" s="157"/>
    </row>
    <row r="15" spans="1:28" s="57" customFormat="1" ht="135">
      <c r="A15" s="34"/>
      <c r="B15" s="34"/>
      <c r="C15" s="34"/>
      <c r="D15" s="34"/>
      <c r="E15" s="34"/>
      <c r="F15" s="34"/>
      <c r="G15" s="128" t="s">
        <v>1179</v>
      </c>
      <c r="H15" s="66" t="s">
        <v>688</v>
      </c>
      <c r="I15" s="56" t="s">
        <v>758</v>
      </c>
      <c r="J15" s="133" t="s">
        <v>689</v>
      </c>
      <c r="K15" s="133" t="s">
        <v>690</v>
      </c>
      <c r="L15" s="133" t="s">
        <v>760</v>
      </c>
      <c r="M15" s="53">
        <v>1</v>
      </c>
      <c r="N15" s="113">
        <v>1</v>
      </c>
      <c r="O15" s="53"/>
      <c r="P15" s="53"/>
      <c r="Q15" s="53"/>
      <c r="R15" s="53"/>
      <c r="S15" s="133" t="s">
        <v>748</v>
      </c>
      <c r="T15" s="133"/>
      <c r="U15" s="133" t="s">
        <v>761</v>
      </c>
      <c r="V15" s="136" t="s">
        <v>1037</v>
      </c>
      <c r="W15" s="178">
        <v>1</v>
      </c>
      <c r="X15" s="157"/>
      <c r="Y15" s="157"/>
      <c r="Z15" s="157"/>
      <c r="AA15" s="157"/>
    </row>
    <row r="16" spans="1:28" s="57" customFormat="1" ht="285" hidden="1" customHeight="1">
      <c r="A16" s="34"/>
      <c r="B16" s="34"/>
      <c r="C16" s="34"/>
      <c r="D16" s="34"/>
      <c r="E16" s="34"/>
      <c r="F16" s="34"/>
      <c r="G16" s="128" t="s">
        <v>1179</v>
      </c>
      <c r="H16" s="66"/>
      <c r="I16" s="56"/>
      <c r="J16" s="133" t="s">
        <v>691</v>
      </c>
      <c r="K16" s="133" t="s">
        <v>256</v>
      </c>
      <c r="L16" s="133" t="s">
        <v>763</v>
      </c>
      <c r="M16" s="53">
        <v>0.3</v>
      </c>
      <c r="N16" s="53"/>
      <c r="O16" s="53"/>
      <c r="P16" s="53">
        <v>1</v>
      </c>
      <c r="Q16" s="53"/>
      <c r="R16" s="53"/>
      <c r="S16" s="133" t="s">
        <v>748</v>
      </c>
      <c r="T16" s="133"/>
      <c r="U16" s="133"/>
      <c r="V16" s="157"/>
      <c r="W16" s="178"/>
      <c r="X16" s="157"/>
      <c r="Y16" s="157"/>
      <c r="Z16" s="157"/>
      <c r="AA16" s="157"/>
    </row>
    <row r="17" spans="1:27" s="57" customFormat="1" ht="165">
      <c r="A17" s="34"/>
      <c r="B17" s="34"/>
      <c r="C17" s="34"/>
      <c r="D17" s="34"/>
      <c r="E17" s="34"/>
      <c r="F17" s="34"/>
      <c r="G17" s="128" t="s">
        <v>1179</v>
      </c>
      <c r="H17" s="66"/>
      <c r="I17" s="56"/>
      <c r="J17" s="133"/>
      <c r="K17" s="133" t="s">
        <v>692</v>
      </c>
      <c r="L17" s="133" t="s">
        <v>764</v>
      </c>
      <c r="M17" s="53">
        <v>0.7</v>
      </c>
      <c r="N17" s="113">
        <v>0.2</v>
      </c>
      <c r="O17" s="112">
        <v>0.2</v>
      </c>
      <c r="P17" s="53">
        <v>0.2</v>
      </c>
      <c r="Q17" s="53">
        <v>0.2</v>
      </c>
      <c r="R17" s="53">
        <v>0.2</v>
      </c>
      <c r="S17" s="133" t="s">
        <v>748</v>
      </c>
      <c r="T17" s="133"/>
      <c r="U17" s="133"/>
      <c r="V17" s="136" t="s">
        <v>1038</v>
      </c>
      <c r="W17" s="178">
        <v>1</v>
      </c>
      <c r="X17" s="136"/>
      <c r="Y17" s="136" t="s">
        <v>1725</v>
      </c>
      <c r="Z17" s="157"/>
      <c r="AA17" s="157"/>
    </row>
    <row r="18" spans="1:27" s="57" customFormat="1" ht="135">
      <c r="A18" s="34"/>
      <c r="B18" s="34"/>
      <c r="C18" s="34"/>
      <c r="D18" s="34"/>
      <c r="E18" s="34"/>
      <c r="F18" s="34"/>
      <c r="G18" s="128" t="s">
        <v>1179</v>
      </c>
      <c r="H18" s="66"/>
      <c r="I18" s="56"/>
      <c r="J18" s="133" t="s">
        <v>693</v>
      </c>
      <c r="K18" s="133" t="s">
        <v>257</v>
      </c>
      <c r="L18" s="133" t="s">
        <v>766</v>
      </c>
      <c r="M18" s="53">
        <v>1</v>
      </c>
      <c r="N18" s="113"/>
      <c r="O18" s="112"/>
      <c r="P18" s="53">
        <v>1</v>
      </c>
      <c r="Q18" s="53"/>
      <c r="R18" s="53"/>
      <c r="S18" s="133" t="s">
        <v>748</v>
      </c>
      <c r="T18" s="133" t="s">
        <v>767</v>
      </c>
      <c r="U18" s="133"/>
      <c r="V18" s="136" t="s">
        <v>1039</v>
      </c>
      <c r="W18" s="178">
        <v>0.42499999999999999</v>
      </c>
      <c r="X18" s="136" t="s">
        <v>1812</v>
      </c>
      <c r="Y18" s="136" t="s">
        <v>1726</v>
      </c>
      <c r="Z18" s="157"/>
      <c r="AA18" s="157"/>
    </row>
    <row r="19" spans="1:27" s="57" customFormat="1" ht="165">
      <c r="A19" s="34"/>
      <c r="B19" s="34"/>
      <c r="C19" s="34"/>
      <c r="D19" s="34"/>
      <c r="E19" s="34"/>
      <c r="F19" s="34"/>
      <c r="G19" s="128" t="s">
        <v>1179</v>
      </c>
      <c r="H19" s="133" t="s">
        <v>694</v>
      </c>
      <c r="I19" s="133" t="s">
        <v>758</v>
      </c>
      <c r="J19" s="133" t="s">
        <v>695</v>
      </c>
      <c r="K19" s="133" t="s">
        <v>696</v>
      </c>
      <c r="L19" s="133" t="s">
        <v>769</v>
      </c>
      <c r="M19" s="53">
        <v>1</v>
      </c>
      <c r="N19" s="113">
        <v>0.2</v>
      </c>
      <c r="O19" s="112">
        <v>0.2</v>
      </c>
      <c r="P19" s="53">
        <v>0.2</v>
      </c>
      <c r="Q19" s="53">
        <v>0.2</v>
      </c>
      <c r="R19" s="53">
        <v>0.2</v>
      </c>
      <c r="S19" s="133" t="s">
        <v>748</v>
      </c>
      <c r="T19" s="133"/>
      <c r="U19" s="133" t="s">
        <v>770</v>
      </c>
      <c r="V19" s="136" t="s">
        <v>1040</v>
      </c>
      <c r="W19" s="178">
        <v>1</v>
      </c>
      <c r="X19" s="136"/>
      <c r="Y19" s="136" t="s">
        <v>1727</v>
      </c>
      <c r="Z19" s="157"/>
      <c r="AA19" s="157"/>
    </row>
    <row r="20" spans="1:27" s="57" customFormat="1" ht="75" hidden="1" customHeight="1">
      <c r="A20" s="34"/>
      <c r="B20" s="34"/>
      <c r="C20" s="34"/>
      <c r="D20" s="34"/>
      <c r="E20" s="34"/>
      <c r="F20" s="34"/>
      <c r="G20" s="128" t="s">
        <v>1179</v>
      </c>
      <c r="H20" s="134" t="s">
        <v>697</v>
      </c>
      <c r="I20" s="134" t="s">
        <v>805</v>
      </c>
      <c r="J20" s="67" t="s">
        <v>1</v>
      </c>
      <c r="K20" s="134" t="s">
        <v>258</v>
      </c>
      <c r="L20" s="134" t="s">
        <v>804</v>
      </c>
      <c r="M20" s="53">
        <v>1</v>
      </c>
      <c r="N20" s="134"/>
      <c r="O20" s="53" t="s">
        <v>793</v>
      </c>
      <c r="P20" s="53" t="s">
        <v>793</v>
      </c>
      <c r="Q20" s="53" t="s">
        <v>793</v>
      </c>
      <c r="R20" s="53" t="s">
        <v>793</v>
      </c>
      <c r="S20" s="134" t="s">
        <v>794</v>
      </c>
      <c r="T20" s="134" t="s">
        <v>259</v>
      </c>
      <c r="U20" s="134" t="s">
        <v>795</v>
      </c>
      <c r="V20" s="179"/>
      <c r="W20" s="178"/>
      <c r="X20" s="157"/>
      <c r="Y20" s="116"/>
      <c r="Z20" s="157"/>
      <c r="AA20" s="157"/>
    </row>
    <row r="21" spans="1:27" s="57" customFormat="1" ht="60">
      <c r="A21" s="34"/>
      <c r="B21" s="34"/>
      <c r="C21" s="34"/>
      <c r="D21" s="34"/>
      <c r="E21" s="34"/>
      <c r="F21" s="34"/>
      <c r="G21" s="128" t="s">
        <v>1179</v>
      </c>
      <c r="H21" s="134" t="s">
        <v>2</v>
      </c>
      <c r="I21" s="134" t="s">
        <v>806</v>
      </c>
      <c r="J21" s="134" t="s">
        <v>3</v>
      </c>
      <c r="K21" s="67" t="s">
        <v>4</v>
      </c>
      <c r="L21" s="134" t="s">
        <v>260</v>
      </c>
      <c r="M21" s="53">
        <v>0.33</v>
      </c>
      <c r="N21" s="113" t="s">
        <v>798</v>
      </c>
      <c r="O21" s="53"/>
      <c r="P21" s="53"/>
      <c r="Q21" s="134"/>
      <c r="R21" s="134"/>
      <c r="S21" s="134" t="s">
        <v>794</v>
      </c>
      <c r="T21" s="134" t="s">
        <v>261</v>
      </c>
      <c r="U21" s="134" t="s">
        <v>797</v>
      </c>
      <c r="V21" s="136" t="s">
        <v>1823</v>
      </c>
      <c r="W21" s="178">
        <v>1</v>
      </c>
      <c r="X21" s="157"/>
      <c r="Y21" s="157"/>
      <c r="Z21" s="157"/>
      <c r="AA21" s="157"/>
    </row>
    <row r="22" spans="1:27" s="57" customFormat="1" ht="129" hidden="1" customHeight="1">
      <c r="A22" s="34"/>
      <c r="B22" s="34"/>
      <c r="C22" s="34"/>
      <c r="D22" s="34"/>
      <c r="E22" s="34"/>
      <c r="F22" s="34"/>
      <c r="G22" s="128" t="s">
        <v>1179</v>
      </c>
      <c r="H22" s="134"/>
      <c r="I22" s="134"/>
      <c r="J22" s="134"/>
      <c r="K22" s="67" t="s">
        <v>5</v>
      </c>
      <c r="L22" s="134" t="s">
        <v>799</v>
      </c>
      <c r="M22" s="53">
        <v>0.33</v>
      </c>
      <c r="N22" s="53"/>
      <c r="O22" s="53" t="s">
        <v>798</v>
      </c>
      <c r="P22" s="53"/>
      <c r="Q22" s="134"/>
      <c r="R22" s="134"/>
      <c r="S22" s="134" t="s">
        <v>794</v>
      </c>
      <c r="T22" s="134" t="s">
        <v>262</v>
      </c>
      <c r="U22" s="134" t="s">
        <v>799</v>
      </c>
      <c r="V22" s="179"/>
      <c r="W22" s="178"/>
      <c r="X22" s="157"/>
      <c r="Y22" s="116"/>
      <c r="Z22" s="157"/>
      <c r="AA22" s="157"/>
    </row>
    <row r="23" spans="1:27" s="57" customFormat="1" ht="152.25" hidden="1" customHeight="1">
      <c r="A23" s="34"/>
      <c r="B23" s="34"/>
      <c r="C23" s="34"/>
      <c r="D23" s="34"/>
      <c r="E23" s="34"/>
      <c r="F23" s="34"/>
      <c r="G23" s="128" t="s">
        <v>1179</v>
      </c>
      <c r="H23" s="134"/>
      <c r="I23" s="134"/>
      <c r="J23" s="67"/>
      <c r="K23" s="67" t="s">
        <v>6</v>
      </c>
      <c r="L23" s="134" t="s">
        <v>800</v>
      </c>
      <c r="M23" s="53">
        <v>0.34</v>
      </c>
      <c r="N23" s="53"/>
      <c r="O23" s="53"/>
      <c r="P23" s="53" t="s">
        <v>798</v>
      </c>
      <c r="Q23" s="134"/>
      <c r="R23" s="134"/>
      <c r="S23" s="134" t="s">
        <v>794</v>
      </c>
      <c r="T23" s="134" t="s">
        <v>263</v>
      </c>
      <c r="U23" s="134" t="s">
        <v>800</v>
      </c>
      <c r="V23" s="179" t="s">
        <v>1716</v>
      </c>
      <c r="W23" s="178"/>
      <c r="X23" s="157"/>
      <c r="Y23" s="157" t="s">
        <v>1716</v>
      </c>
      <c r="Z23" s="157"/>
      <c r="AA23" s="157"/>
    </row>
    <row r="24" spans="1:27" s="57" customFormat="1" ht="75">
      <c r="A24" s="34"/>
      <c r="B24" s="34"/>
      <c r="C24" s="34"/>
      <c r="D24" s="34"/>
      <c r="E24" s="34"/>
      <c r="F24" s="34"/>
      <c r="G24" s="128" t="s">
        <v>1179</v>
      </c>
      <c r="H24" s="134" t="s">
        <v>7</v>
      </c>
      <c r="I24" s="134" t="s">
        <v>264</v>
      </c>
      <c r="J24" s="67" t="s">
        <v>265</v>
      </c>
      <c r="K24" s="67" t="s">
        <v>8</v>
      </c>
      <c r="L24" s="134" t="s">
        <v>801</v>
      </c>
      <c r="M24" s="53">
        <v>0.33</v>
      </c>
      <c r="N24" s="113" t="s">
        <v>798</v>
      </c>
      <c r="O24" s="134"/>
      <c r="P24" s="53"/>
      <c r="Q24" s="134"/>
      <c r="R24" s="134"/>
      <c r="S24" s="134" t="s">
        <v>794</v>
      </c>
      <c r="T24" s="134" t="s">
        <v>266</v>
      </c>
      <c r="U24" s="134"/>
      <c r="V24" s="180" t="s">
        <v>1824</v>
      </c>
      <c r="W24" s="178">
        <v>1</v>
      </c>
      <c r="X24" s="157"/>
      <c r="Y24" s="157"/>
      <c r="Z24" s="157"/>
      <c r="AA24" s="157"/>
    </row>
    <row r="25" spans="1:27" s="57" customFormat="1" ht="123" hidden="1" customHeight="1">
      <c r="A25" s="34"/>
      <c r="B25" s="34"/>
      <c r="C25" s="34"/>
      <c r="D25" s="34"/>
      <c r="E25" s="34"/>
      <c r="F25" s="34"/>
      <c r="G25" s="128" t="s">
        <v>1179</v>
      </c>
      <c r="H25" s="134"/>
      <c r="I25" s="134"/>
      <c r="J25" s="134"/>
      <c r="K25" s="67" t="s">
        <v>9</v>
      </c>
      <c r="L25" s="134" t="s">
        <v>802</v>
      </c>
      <c r="M25" s="53">
        <v>0.33</v>
      </c>
      <c r="N25" s="134"/>
      <c r="O25" s="53" t="s">
        <v>798</v>
      </c>
      <c r="P25" s="134"/>
      <c r="Q25" s="53"/>
      <c r="R25" s="53"/>
      <c r="S25" s="134" t="s">
        <v>794</v>
      </c>
      <c r="T25" s="134" t="s">
        <v>267</v>
      </c>
      <c r="U25" s="134" t="s">
        <v>803</v>
      </c>
      <c r="V25" s="179"/>
      <c r="W25" s="178"/>
      <c r="X25" s="157"/>
      <c r="Y25" s="116"/>
      <c r="Z25" s="157"/>
      <c r="AA25" s="157"/>
    </row>
    <row r="26" spans="1:27" s="57" customFormat="1" ht="120">
      <c r="A26" s="34"/>
      <c r="B26" s="34"/>
      <c r="C26" s="34"/>
      <c r="D26" s="34"/>
      <c r="E26" s="34"/>
      <c r="F26" s="34"/>
      <c r="G26" s="128" t="s">
        <v>1179</v>
      </c>
      <c r="H26" s="134"/>
      <c r="I26" s="134"/>
      <c r="J26" s="134"/>
      <c r="K26" s="67" t="s">
        <v>268</v>
      </c>
      <c r="L26" s="134" t="s">
        <v>800</v>
      </c>
      <c r="M26" s="53">
        <v>0.34</v>
      </c>
      <c r="N26" s="113" t="s">
        <v>798</v>
      </c>
      <c r="O26" s="134"/>
      <c r="P26" s="134"/>
      <c r="Q26" s="53"/>
      <c r="R26" s="53"/>
      <c r="S26" s="134" t="s">
        <v>794</v>
      </c>
      <c r="T26" s="134" t="s">
        <v>263</v>
      </c>
      <c r="U26" s="134" t="s">
        <v>800</v>
      </c>
      <c r="V26" s="181" t="s">
        <v>1825</v>
      </c>
      <c r="W26" s="178">
        <v>0.94</v>
      </c>
      <c r="X26" s="181" t="s">
        <v>1826</v>
      </c>
      <c r="Y26" s="157"/>
      <c r="Z26" s="157"/>
      <c r="AA26" s="157"/>
    </row>
    <row r="27" spans="1:27" s="57" customFormat="1" ht="258.75" customHeight="1">
      <c r="A27" s="34"/>
      <c r="B27" s="34"/>
      <c r="C27" s="34"/>
      <c r="D27" s="34"/>
      <c r="E27" s="34"/>
      <c r="F27" s="34"/>
      <c r="G27" s="128" t="s">
        <v>1179</v>
      </c>
      <c r="H27" s="134" t="s">
        <v>10</v>
      </c>
      <c r="I27" s="68" t="s">
        <v>854</v>
      </c>
      <c r="J27" s="67" t="s">
        <v>11</v>
      </c>
      <c r="K27" s="67" t="s">
        <v>12</v>
      </c>
      <c r="L27" s="68" t="s">
        <v>855</v>
      </c>
      <c r="M27" s="53">
        <v>0.25</v>
      </c>
      <c r="N27" s="113">
        <v>1</v>
      </c>
      <c r="O27" s="69"/>
      <c r="P27" s="69"/>
      <c r="Q27" s="69"/>
      <c r="R27" s="69"/>
      <c r="S27" s="68" t="s">
        <v>269</v>
      </c>
      <c r="T27" s="34"/>
      <c r="U27" s="68" t="s">
        <v>856</v>
      </c>
      <c r="V27" s="181" t="s">
        <v>1043</v>
      </c>
      <c r="W27" s="178">
        <v>1</v>
      </c>
      <c r="X27" s="157"/>
      <c r="Y27" s="157"/>
      <c r="Z27" s="157"/>
      <c r="AA27" s="157"/>
    </row>
    <row r="28" spans="1:27" s="57" customFormat="1" ht="88.5" hidden="1" customHeight="1">
      <c r="A28" s="34"/>
      <c r="B28" s="34"/>
      <c r="C28" s="34"/>
      <c r="D28" s="34"/>
      <c r="E28" s="34"/>
      <c r="F28" s="34"/>
      <c r="G28" s="128" t="s">
        <v>1179</v>
      </c>
      <c r="H28" s="34"/>
      <c r="I28" s="34"/>
      <c r="J28" s="34"/>
      <c r="K28" s="67" t="s">
        <v>13</v>
      </c>
      <c r="L28" s="68" t="s">
        <v>857</v>
      </c>
      <c r="M28" s="53">
        <v>0.75</v>
      </c>
      <c r="N28" s="69"/>
      <c r="O28" s="70">
        <v>0.25</v>
      </c>
      <c r="P28" s="70">
        <v>0.25</v>
      </c>
      <c r="Q28" s="70">
        <v>0.25</v>
      </c>
      <c r="R28" s="70">
        <v>0.25</v>
      </c>
      <c r="S28" s="68" t="s">
        <v>269</v>
      </c>
      <c r="T28" s="34"/>
      <c r="U28" s="68" t="s">
        <v>858</v>
      </c>
      <c r="V28" s="179"/>
      <c r="W28" s="178"/>
      <c r="X28" s="157"/>
      <c r="Y28" s="181" t="s">
        <v>1728</v>
      </c>
      <c r="Z28" s="157"/>
      <c r="AA28" s="157"/>
    </row>
    <row r="29" spans="1:27" s="57" customFormat="1" ht="180">
      <c r="A29" s="34"/>
      <c r="B29" s="34"/>
      <c r="C29" s="34"/>
      <c r="D29" s="34"/>
      <c r="E29" s="34"/>
      <c r="F29" s="34"/>
      <c r="G29" s="128" t="s">
        <v>1179</v>
      </c>
      <c r="H29" s="134" t="s">
        <v>14</v>
      </c>
      <c r="I29" s="68" t="s">
        <v>859</v>
      </c>
      <c r="J29" s="67" t="s">
        <v>15</v>
      </c>
      <c r="K29" s="60" t="s">
        <v>270</v>
      </c>
      <c r="L29" s="60" t="s">
        <v>860</v>
      </c>
      <c r="M29" s="53">
        <v>0.3</v>
      </c>
      <c r="N29" s="113">
        <v>1</v>
      </c>
      <c r="O29" s="112"/>
      <c r="P29" s="53"/>
      <c r="Q29" s="53"/>
      <c r="R29" s="53"/>
      <c r="S29" s="134" t="s">
        <v>865</v>
      </c>
      <c r="T29" s="300" t="s">
        <v>861</v>
      </c>
      <c r="U29" s="300" t="s">
        <v>862</v>
      </c>
      <c r="V29" s="181" t="s">
        <v>1082</v>
      </c>
      <c r="W29" s="178">
        <v>1</v>
      </c>
      <c r="X29" s="181"/>
      <c r="Y29" s="181" t="s">
        <v>1729</v>
      </c>
      <c r="Z29" s="157"/>
      <c r="AA29" s="157"/>
    </row>
    <row r="30" spans="1:27" s="57" customFormat="1" ht="409.5" hidden="1" customHeight="1">
      <c r="A30" s="34"/>
      <c r="B30" s="34"/>
      <c r="C30" s="34"/>
      <c r="D30" s="34"/>
      <c r="E30" s="34"/>
      <c r="F30" s="34"/>
      <c r="G30" s="128" t="s">
        <v>1179</v>
      </c>
      <c r="H30" s="60"/>
      <c r="I30" s="60"/>
      <c r="J30" s="60"/>
      <c r="K30" s="60" t="s">
        <v>16</v>
      </c>
      <c r="L30" s="60" t="s">
        <v>863</v>
      </c>
      <c r="M30" s="53">
        <v>0.7</v>
      </c>
      <c r="N30" s="53"/>
      <c r="O30" s="53">
        <v>0.5</v>
      </c>
      <c r="P30" s="53">
        <v>0.5</v>
      </c>
      <c r="Q30" s="53"/>
      <c r="R30" s="53"/>
      <c r="S30" s="134" t="s">
        <v>865</v>
      </c>
      <c r="T30" s="301"/>
      <c r="U30" s="301"/>
      <c r="V30" s="179"/>
      <c r="W30" s="178"/>
      <c r="X30" s="157"/>
      <c r="Y30" s="116"/>
      <c r="Z30" s="157"/>
      <c r="AA30" s="157"/>
    </row>
    <row r="31" spans="1:27" s="57" customFormat="1" ht="255">
      <c r="A31" s="34"/>
      <c r="B31" s="34"/>
      <c r="C31" s="34"/>
      <c r="D31" s="34"/>
      <c r="E31" s="34"/>
      <c r="F31" s="34"/>
      <c r="G31" s="128" t="s">
        <v>1179</v>
      </c>
      <c r="H31" s="71" t="s">
        <v>17</v>
      </c>
      <c r="I31" s="71" t="s">
        <v>866</v>
      </c>
      <c r="J31" s="71" t="s">
        <v>18</v>
      </c>
      <c r="K31" s="71" t="s">
        <v>19</v>
      </c>
      <c r="L31" s="71" t="s">
        <v>867</v>
      </c>
      <c r="M31" s="53">
        <v>1</v>
      </c>
      <c r="N31" s="113">
        <v>0.2</v>
      </c>
      <c r="O31" s="112">
        <v>0.2</v>
      </c>
      <c r="P31" s="53">
        <v>0.2</v>
      </c>
      <c r="Q31" s="53">
        <v>0.2</v>
      </c>
      <c r="R31" s="53">
        <v>0.2</v>
      </c>
      <c r="S31" s="60" t="s">
        <v>868</v>
      </c>
      <c r="T31" s="62" t="s">
        <v>869</v>
      </c>
      <c r="U31" s="297" t="s">
        <v>870</v>
      </c>
      <c r="V31" s="71" t="s">
        <v>1045</v>
      </c>
      <c r="W31" s="178">
        <v>1</v>
      </c>
      <c r="X31" s="71"/>
      <c r="Y31" s="71" t="s">
        <v>1730</v>
      </c>
      <c r="Z31" s="157"/>
      <c r="AA31" s="157"/>
    </row>
    <row r="32" spans="1:27" s="57" customFormat="1" ht="165">
      <c r="A32" s="34"/>
      <c r="B32" s="34"/>
      <c r="C32" s="34"/>
      <c r="D32" s="34"/>
      <c r="E32" s="34"/>
      <c r="F32" s="34"/>
      <c r="G32" s="128" t="s">
        <v>1179</v>
      </c>
      <c r="H32" s="71"/>
      <c r="I32" s="71" t="s">
        <v>871</v>
      </c>
      <c r="J32" s="71" t="s">
        <v>20</v>
      </c>
      <c r="K32" s="71" t="s">
        <v>21</v>
      </c>
      <c r="L32" s="71" t="s">
        <v>867</v>
      </c>
      <c r="M32" s="53">
        <v>1</v>
      </c>
      <c r="N32" s="113">
        <v>0.2</v>
      </c>
      <c r="O32" s="112">
        <v>0.2</v>
      </c>
      <c r="P32" s="53">
        <v>0.2</v>
      </c>
      <c r="Q32" s="53">
        <v>0.2</v>
      </c>
      <c r="R32" s="53">
        <v>0.2</v>
      </c>
      <c r="S32" s="60" t="s">
        <v>868</v>
      </c>
      <c r="T32" s="62" t="s">
        <v>869</v>
      </c>
      <c r="U32" s="302"/>
      <c r="V32" s="71" t="s">
        <v>1046</v>
      </c>
      <c r="W32" s="178">
        <v>1</v>
      </c>
      <c r="X32" s="71"/>
      <c r="Y32" s="71" t="s">
        <v>1731</v>
      </c>
      <c r="Z32" s="157"/>
      <c r="AA32" s="157"/>
    </row>
    <row r="33" spans="1:27" s="57" customFormat="1" ht="150">
      <c r="A33" s="34"/>
      <c r="B33" s="34"/>
      <c r="C33" s="34"/>
      <c r="D33" s="34"/>
      <c r="E33" s="34"/>
      <c r="F33" s="34"/>
      <c r="G33" s="128" t="s">
        <v>1179</v>
      </c>
      <c r="H33" s="71"/>
      <c r="I33" s="71" t="s">
        <v>872</v>
      </c>
      <c r="J33" s="71" t="s">
        <v>22</v>
      </c>
      <c r="K33" s="71" t="s">
        <v>23</v>
      </c>
      <c r="L33" s="71" t="s">
        <v>873</v>
      </c>
      <c r="M33" s="53">
        <v>1</v>
      </c>
      <c r="N33" s="113">
        <v>0.2</v>
      </c>
      <c r="O33" s="112">
        <v>0.2</v>
      </c>
      <c r="P33" s="53">
        <v>0.2</v>
      </c>
      <c r="Q33" s="53">
        <v>0.2</v>
      </c>
      <c r="R33" s="53">
        <v>0.2</v>
      </c>
      <c r="S33" s="60" t="s">
        <v>868</v>
      </c>
      <c r="T33" s="60" t="s">
        <v>874</v>
      </c>
      <c r="U33" s="302"/>
      <c r="V33" s="71" t="s">
        <v>1047</v>
      </c>
      <c r="W33" s="178">
        <v>1</v>
      </c>
      <c r="X33" s="71"/>
      <c r="Y33" s="71" t="s">
        <v>1732</v>
      </c>
      <c r="Z33" s="157"/>
      <c r="AA33" s="157"/>
    </row>
    <row r="34" spans="1:27" s="57" customFormat="1" ht="409.5">
      <c r="A34" s="34"/>
      <c r="B34" s="34"/>
      <c r="C34" s="34"/>
      <c r="D34" s="34"/>
      <c r="E34" s="34"/>
      <c r="F34" s="34"/>
      <c r="G34" s="128" t="s">
        <v>1179</v>
      </c>
      <c r="H34" s="71" t="s">
        <v>24</v>
      </c>
      <c r="I34" s="71" t="s">
        <v>875</v>
      </c>
      <c r="J34" s="71" t="s">
        <v>25</v>
      </c>
      <c r="K34" s="71" t="s">
        <v>26</v>
      </c>
      <c r="L34" s="71" t="s">
        <v>867</v>
      </c>
      <c r="M34" s="53">
        <v>1</v>
      </c>
      <c r="N34" s="113">
        <v>0.2</v>
      </c>
      <c r="O34" s="112">
        <v>0.2</v>
      </c>
      <c r="P34" s="53">
        <v>0.2</v>
      </c>
      <c r="Q34" s="53">
        <v>0.2</v>
      </c>
      <c r="R34" s="53">
        <v>0.2</v>
      </c>
      <c r="S34" s="60" t="s">
        <v>868</v>
      </c>
      <c r="T34" s="60" t="s">
        <v>876</v>
      </c>
      <c r="U34" s="302"/>
      <c r="V34" s="71" t="s">
        <v>1048</v>
      </c>
      <c r="W34" s="178">
        <v>0.67</v>
      </c>
      <c r="X34" s="71" t="s">
        <v>1822</v>
      </c>
      <c r="Y34" s="71" t="s">
        <v>1733</v>
      </c>
      <c r="Z34" s="157"/>
      <c r="AA34" s="157"/>
    </row>
    <row r="35" spans="1:27" s="57" customFormat="1" ht="180" hidden="1" customHeight="1">
      <c r="A35" s="34"/>
      <c r="B35" s="34"/>
      <c r="C35" s="34"/>
      <c r="D35" s="34"/>
      <c r="E35" s="34"/>
      <c r="F35" s="34"/>
      <c r="G35" s="128" t="s">
        <v>1179</v>
      </c>
      <c r="H35" s="71"/>
      <c r="I35" s="71" t="s">
        <v>877</v>
      </c>
      <c r="J35" s="71" t="s">
        <v>28</v>
      </c>
      <c r="K35" s="71" t="s">
        <v>27</v>
      </c>
      <c r="L35" s="71" t="s">
        <v>878</v>
      </c>
      <c r="M35" s="53">
        <v>1</v>
      </c>
      <c r="N35" s="61"/>
      <c r="O35" s="53">
        <v>1</v>
      </c>
      <c r="P35" s="61"/>
      <c r="Q35" s="61"/>
      <c r="R35" s="61"/>
      <c r="S35" s="60" t="s">
        <v>868</v>
      </c>
      <c r="T35" s="60" t="s">
        <v>879</v>
      </c>
      <c r="U35" s="298"/>
      <c r="V35" s="179"/>
      <c r="W35" s="178"/>
      <c r="X35" s="157"/>
      <c r="Y35" s="116"/>
      <c r="Z35" s="157"/>
      <c r="AA35" s="157"/>
    </row>
    <row r="36" spans="1:27" s="57" customFormat="1" ht="105">
      <c r="A36" s="34"/>
      <c r="B36" s="34"/>
      <c r="C36" s="34"/>
      <c r="D36" s="34"/>
      <c r="E36" s="34"/>
      <c r="F36" s="34"/>
      <c r="G36" s="128" t="s">
        <v>1179</v>
      </c>
      <c r="H36" s="133" t="s">
        <v>29</v>
      </c>
      <c r="I36" s="133" t="s">
        <v>880</v>
      </c>
      <c r="J36" s="133" t="s">
        <v>30</v>
      </c>
      <c r="K36" s="133" t="s">
        <v>31</v>
      </c>
      <c r="L36" s="133" t="s">
        <v>881</v>
      </c>
      <c r="M36" s="53">
        <v>1</v>
      </c>
      <c r="N36" s="113">
        <v>0.2</v>
      </c>
      <c r="O36" s="112">
        <v>0.2</v>
      </c>
      <c r="P36" s="53">
        <v>0.2</v>
      </c>
      <c r="Q36" s="53">
        <v>0.2</v>
      </c>
      <c r="R36" s="53">
        <v>0.2</v>
      </c>
      <c r="S36" s="60" t="s">
        <v>882</v>
      </c>
      <c r="T36" s="60" t="s">
        <v>883</v>
      </c>
      <c r="U36" s="297" t="s">
        <v>906</v>
      </c>
      <c r="V36" s="133" t="s">
        <v>1079</v>
      </c>
      <c r="W36" s="178">
        <v>1</v>
      </c>
      <c r="X36" s="133"/>
      <c r="Y36" s="133" t="s">
        <v>1079</v>
      </c>
      <c r="Z36" s="157"/>
      <c r="AA36" s="157"/>
    </row>
    <row r="37" spans="1:27" s="57" customFormat="1" ht="105">
      <c r="A37" s="34"/>
      <c r="B37" s="34"/>
      <c r="C37" s="34"/>
      <c r="D37" s="34"/>
      <c r="E37" s="34"/>
      <c r="F37" s="34"/>
      <c r="G37" s="128" t="s">
        <v>1179</v>
      </c>
      <c r="H37" s="133" t="s">
        <v>34</v>
      </c>
      <c r="I37" s="133" t="s">
        <v>884</v>
      </c>
      <c r="J37" s="133" t="s">
        <v>33</v>
      </c>
      <c r="K37" s="133" t="s">
        <v>32</v>
      </c>
      <c r="L37" s="133" t="s">
        <v>881</v>
      </c>
      <c r="M37" s="53">
        <v>1</v>
      </c>
      <c r="N37" s="113">
        <v>0.2</v>
      </c>
      <c r="O37" s="112">
        <v>0.2</v>
      </c>
      <c r="P37" s="53">
        <v>0.2</v>
      </c>
      <c r="Q37" s="53">
        <v>0.2</v>
      </c>
      <c r="R37" s="53">
        <v>0.2</v>
      </c>
      <c r="S37" s="60" t="s">
        <v>882</v>
      </c>
      <c r="T37" s="60" t="s">
        <v>883</v>
      </c>
      <c r="U37" s="298"/>
      <c r="V37" s="133" t="s">
        <v>1080</v>
      </c>
      <c r="W37" s="178">
        <v>1</v>
      </c>
      <c r="X37" s="133"/>
      <c r="Y37" s="133" t="s">
        <v>1080</v>
      </c>
      <c r="Z37" s="157"/>
      <c r="AA37" s="157"/>
    </row>
    <row r="38" spans="1:27" s="57" customFormat="1" ht="90">
      <c r="A38" s="34"/>
      <c r="B38" s="34"/>
      <c r="C38" s="34"/>
      <c r="D38" s="34"/>
      <c r="E38" s="34"/>
      <c r="F38" s="34"/>
      <c r="G38" s="128" t="s">
        <v>1179</v>
      </c>
      <c r="H38" s="133" t="s">
        <v>43</v>
      </c>
      <c r="I38" s="133" t="s">
        <v>901</v>
      </c>
      <c r="J38" s="133" t="s">
        <v>41</v>
      </c>
      <c r="K38" s="133" t="s">
        <v>42</v>
      </c>
      <c r="L38" s="133" t="s">
        <v>902</v>
      </c>
      <c r="M38" s="53">
        <v>1</v>
      </c>
      <c r="N38" s="113">
        <v>0.2</v>
      </c>
      <c r="O38" s="53">
        <v>0.2</v>
      </c>
      <c r="P38" s="53">
        <v>0.2</v>
      </c>
      <c r="Q38" s="53">
        <v>0.2</v>
      </c>
      <c r="R38" s="53">
        <v>0.2</v>
      </c>
      <c r="S38" s="60" t="s">
        <v>903</v>
      </c>
      <c r="T38" s="60" t="s">
        <v>904</v>
      </c>
      <c r="U38" s="60" t="s">
        <v>905</v>
      </c>
      <c r="V38" s="182" t="s">
        <v>1088</v>
      </c>
      <c r="W38" s="54">
        <v>1</v>
      </c>
      <c r="X38" s="157"/>
      <c r="Y38" s="116"/>
      <c r="Z38" s="157"/>
      <c r="AA38" s="157"/>
    </row>
    <row r="39" spans="1:27" s="57" customFormat="1" ht="97.5" customHeight="1">
      <c r="A39" s="34"/>
      <c r="B39" s="34"/>
      <c r="C39" s="34"/>
      <c r="D39" s="34"/>
      <c r="E39" s="34"/>
      <c r="F39" s="34"/>
      <c r="G39" s="128" t="s">
        <v>1179</v>
      </c>
      <c r="H39" s="133" t="s">
        <v>35</v>
      </c>
      <c r="I39" s="133" t="s">
        <v>907</v>
      </c>
      <c r="J39" s="133" t="s">
        <v>36</v>
      </c>
      <c r="K39" s="133" t="s">
        <v>37</v>
      </c>
      <c r="L39" s="133" t="s">
        <v>895</v>
      </c>
      <c r="M39" s="53">
        <v>1</v>
      </c>
      <c r="N39" s="53">
        <v>0.5</v>
      </c>
      <c r="O39" s="53">
        <v>0.5</v>
      </c>
      <c r="P39" s="61"/>
      <c r="Q39" s="61"/>
      <c r="R39" s="61"/>
      <c r="S39" s="60" t="s">
        <v>908</v>
      </c>
      <c r="T39" s="34" t="s">
        <v>909</v>
      </c>
      <c r="U39" s="60" t="s">
        <v>910</v>
      </c>
      <c r="V39" s="199"/>
      <c r="W39" s="54">
        <v>0.5</v>
      </c>
      <c r="X39" s="157"/>
      <c r="Y39" s="116"/>
      <c r="Z39" s="157"/>
      <c r="AA39" s="157"/>
    </row>
    <row r="40" spans="1:27" s="57" customFormat="1" ht="135">
      <c r="A40" s="34"/>
      <c r="B40" s="34"/>
      <c r="C40" s="34"/>
      <c r="D40" s="34"/>
      <c r="E40" s="34"/>
      <c r="F40" s="34"/>
      <c r="G40" s="128" t="s">
        <v>1179</v>
      </c>
      <c r="H40" s="133" t="s">
        <v>40</v>
      </c>
      <c r="I40" s="133" t="s">
        <v>911</v>
      </c>
      <c r="J40" s="133" t="s">
        <v>39</v>
      </c>
      <c r="K40" s="133" t="s">
        <v>38</v>
      </c>
      <c r="L40" s="133" t="s">
        <v>857</v>
      </c>
      <c r="M40" s="53">
        <v>1</v>
      </c>
      <c r="N40" s="113">
        <v>0.5</v>
      </c>
      <c r="O40" s="112">
        <v>0.5</v>
      </c>
      <c r="P40" s="61"/>
      <c r="Q40" s="61"/>
      <c r="R40" s="61"/>
      <c r="S40" s="60" t="s">
        <v>908</v>
      </c>
      <c r="T40" s="60" t="s">
        <v>913</v>
      </c>
      <c r="U40" s="60" t="s">
        <v>912</v>
      </c>
      <c r="V40" s="133" t="s">
        <v>1089</v>
      </c>
      <c r="W40" s="178">
        <v>0.97</v>
      </c>
      <c r="X40" s="157"/>
      <c r="Y40" s="133" t="s">
        <v>1734</v>
      </c>
      <c r="Z40" s="157"/>
      <c r="AA40" s="157"/>
    </row>
    <row r="41" spans="1:27" s="57" customFormat="1" ht="105">
      <c r="A41" s="34"/>
      <c r="B41" s="34"/>
      <c r="C41" s="34"/>
      <c r="D41" s="34"/>
      <c r="E41" s="34"/>
      <c r="F41" s="34"/>
      <c r="G41" s="128" t="s">
        <v>1179</v>
      </c>
      <c r="H41" s="133" t="s">
        <v>569</v>
      </c>
      <c r="I41" s="133" t="s">
        <v>271</v>
      </c>
      <c r="J41" s="133" t="s">
        <v>45</v>
      </c>
      <c r="K41" s="133" t="s">
        <v>46</v>
      </c>
      <c r="L41" s="133" t="s">
        <v>895</v>
      </c>
      <c r="M41" s="53">
        <v>1</v>
      </c>
      <c r="N41" s="113">
        <v>1</v>
      </c>
      <c r="O41" s="112"/>
      <c r="P41" s="61"/>
      <c r="Q41" s="61"/>
      <c r="R41" s="61"/>
      <c r="S41" s="60" t="s">
        <v>908</v>
      </c>
      <c r="T41" s="60" t="s">
        <v>914</v>
      </c>
      <c r="U41" s="60" t="s">
        <v>915</v>
      </c>
      <c r="V41" s="133" t="s">
        <v>1090</v>
      </c>
      <c r="W41" s="178">
        <v>0.98</v>
      </c>
      <c r="X41" s="157"/>
      <c r="Y41" s="133" t="s">
        <v>1735</v>
      </c>
      <c r="Z41" s="157"/>
      <c r="AA41" s="157"/>
    </row>
    <row r="42" spans="1:27" s="57" customFormat="1" ht="165">
      <c r="A42" s="34"/>
      <c r="B42" s="34"/>
      <c r="C42" s="34"/>
      <c r="D42" s="34"/>
      <c r="E42" s="34"/>
      <c r="F42" s="34"/>
      <c r="G42" s="128" t="s">
        <v>1179</v>
      </c>
      <c r="H42" s="133" t="s">
        <v>44</v>
      </c>
      <c r="I42" s="133" t="s">
        <v>917</v>
      </c>
      <c r="J42" s="133" t="s">
        <v>48</v>
      </c>
      <c r="K42" s="133" t="s">
        <v>47</v>
      </c>
      <c r="L42" s="133" t="s">
        <v>867</v>
      </c>
      <c r="M42" s="53">
        <v>1</v>
      </c>
      <c r="N42" s="113">
        <v>1</v>
      </c>
      <c r="O42" s="53"/>
      <c r="P42" s="61"/>
      <c r="Q42" s="61"/>
      <c r="R42" s="60"/>
      <c r="S42" s="60" t="s">
        <v>918</v>
      </c>
      <c r="T42" s="60" t="s">
        <v>919</v>
      </c>
      <c r="U42" s="60" t="s">
        <v>920</v>
      </c>
      <c r="V42" s="133" t="s">
        <v>1093</v>
      </c>
      <c r="W42" s="178">
        <v>0.85</v>
      </c>
      <c r="X42" s="229" t="s">
        <v>1831</v>
      </c>
      <c r="Y42" s="157"/>
      <c r="Z42" s="157"/>
      <c r="AA42" s="157"/>
    </row>
    <row r="43" spans="1:27" s="57" customFormat="1" ht="105">
      <c r="A43" s="34"/>
      <c r="B43" s="34"/>
      <c r="C43" s="34"/>
      <c r="D43" s="34"/>
      <c r="E43" s="34"/>
      <c r="F43" s="34"/>
      <c r="G43" s="128" t="s">
        <v>1179</v>
      </c>
      <c r="H43" s="133" t="s">
        <v>49</v>
      </c>
      <c r="I43" s="133" t="s">
        <v>938</v>
      </c>
      <c r="J43" s="133" t="s">
        <v>50</v>
      </c>
      <c r="K43" s="133" t="s">
        <v>51</v>
      </c>
      <c r="L43" s="133" t="s">
        <v>867</v>
      </c>
      <c r="M43" s="53">
        <v>1</v>
      </c>
      <c r="N43" s="113">
        <v>1</v>
      </c>
      <c r="O43" s="53"/>
      <c r="P43" s="61"/>
      <c r="Q43" s="61"/>
      <c r="R43" s="60"/>
      <c r="S43" s="60" t="s">
        <v>918</v>
      </c>
      <c r="T43" s="60" t="s">
        <v>919</v>
      </c>
      <c r="U43" s="60" t="s">
        <v>921</v>
      </c>
      <c r="V43" s="180" t="s">
        <v>1094</v>
      </c>
      <c r="W43" s="178">
        <v>1</v>
      </c>
      <c r="X43" s="157"/>
      <c r="Y43" s="157"/>
      <c r="Z43" s="157"/>
      <c r="AA43" s="157"/>
    </row>
    <row r="44" spans="1:27" s="57" customFormat="1" ht="90">
      <c r="A44" s="34"/>
      <c r="B44" s="34"/>
      <c r="C44" s="34"/>
      <c r="D44" s="34"/>
      <c r="E44" s="34"/>
      <c r="F44" s="34"/>
      <c r="G44" s="128" t="s">
        <v>1179</v>
      </c>
      <c r="H44" s="133" t="s">
        <v>54</v>
      </c>
      <c r="I44" s="133" t="s">
        <v>933</v>
      </c>
      <c r="J44" s="133" t="s">
        <v>53</v>
      </c>
      <c r="K44" s="133" t="s">
        <v>52</v>
      </c>
      <c r="L44" s="133" t="s">
        <v>934</v>
      </c>
      <c r="M44" s="53">
        <v>1</v>
      </c>
      <c r="N44" s="113">
        <v>0.5</v>
      </c>
      <c r="O44" s="112">
        <v>0.5</v>
      </c>
      <c r="P44" s="61"/>
      <c r="Q44" s="61"/>
      <c r="R44" s="61"/>
      <c r="S44" s="60" t="s">
        <v>935</v>
      </c>
      <c r="T44" s="60" t="s">
        <v>936</v>
      </c>
      <c r="U44" s="60" t="s">
        <v>937</v>
      </c>
      <c r="V44" s="183" t="s">
        <v>1091</v>
      </c>
      <c r="W44" s="178">
        <v>1</v>
      </c>
      <c r="X44" s="184"/>
      <c r="Y44" s="180" t="s">
        <v>1736</v>
      </c>
      <c r="Z44" s="157"/>
      <c r="AA44" s="157"/>
    </row>
    <row r="45" spans="1:27" s="57" customFormat="1" ht="186.75" customHeight="1">
      <c r="A45" s="34"/>
      <c r="B45" s="34"/>
      <c r="C45" s="34"/>
      <c r="D45" s="34"/>
      <c r="E45" s="34"/>
      <c r="F45" s="34"/>
      <c r="G45" s="128" t="s">
        <v>1179</v>
      </c>
      <c r="H45" s="133" t="s">
        <v>55</v>
      </c>
      <c r="I45" s="133" t="s">
        <v>961</v>
      </c>
      <c r="J45" s="133" t="s">
        <v>56</v>
      </c>
      <c r="K45" s="133" t="s">
        <v>272</v>
      </c>
      <c r="L45" s="133" t="s">
        <v>962</v>
      </c>
      <c r="M45" s="53">
        <v>0.2</v>
      </c>
      <c r="N45" s="113">
        <v>1</v>
      </c>
      <c r="O45" s="133"/>
      <c r="P45" s="133"/>
      <c r="Q45" s="133"/>
      <c r="R45" s="133"/>
      <c r="S45" s="133" t="s">
        <v>923</v>
      </c>
      <c r="T45" s="133" t="s">
        <v>273</v>
      </c>
      <c r="U45" s="133" t="s">
        <v>274</v>
      </c>
      <c r="V45" s="183"/>
      <c r="W45" s="54">
        <v>0.2</v>
      </c>
      <c r="X45" s="159" t="s">
        <v>1862</v>
      </c>
      <c r="Y45" s="157"/>
      <c r="Z45" s="157"/>
      <c r="AA45" s="157"/>
    </row>
    <row r="46" spans="1:27" s="57" customFormat="1" ht="150">
      <c r="A46" s="34"/>
      <c r="B46" s="34"/>
      <c r="C46" s="34"/>
      <c r="D46" s="34"/>
      <c r="E46" s="34"/>
      <c r="F46" s="34"/>
      <c r="G46" s="128" t="s">
        <v>1179</v>
      </c>
      <c r="H46" s="133"/>
      <c r="I46" s="133"/>
      <c r="J46" s="133"/>
      <c r="K46" s="226" t="s">
        <v>57</v>
      </c>
      <c r="L46" s="133" t="s">
        <v>965</v>
      </c>
      <c r="M46" s="53">
        <v>0.8</v>
      </c>
      <c r="N46" s="53">
        <v>0.1</v>
      </c>
      <c r="O46" s="112">
        <v>0.2</v>
      </c>
      <c r="P46" s="53">
        <v>0.3</v>
      </c>
      <c r="Q46" s="53">
        <v>0.4</v>
      </c>
      <c r="R46" s="133"/>
      <c r="S46" s="133" t="s">
        <v>963</v>
      </c>
      <c r="T46" s="133" t="s">
        <v>964</v>
      </c>
      <c r="U46" s="133" t="s">
        <v>275</v>
      </c>
      <c r="V46" s="183" t="s">
        <v>1085</v>
      </c>
      <c r="W46" s="178">
        <v>0</v>
      </c>
      <c r="X46" s="159" t="s">
        <v>1817</v>
      </c>
      <c r="Y46" s="183" t="s">
        <v>1737</v>
      </c>
      <c r="Z46" s="157"/>
      <c r="AA46" s="157"/>
    </row>
    <row r="47" spans="1:27" s="57" customFormat="1" ht="345">
      <c r="A47" s="34"/>
      <c r="B47" s="34"/>
      <c r="C47" s="34"/>
      <c r="D47" s="34"/>
      <c r="E47" s="34"/>
      <c r="F47" s="34"/>
      <c r="G47" s="128" t="s">
        <v>1179</v>
      </c>
      <c r="H47" s="133" t="s">
        <v>58</v>
      </c>
      <c r="I47" s="133" t="s">
        <v>480</v>
      </c>
      <c r="J47" s="71" t="s">
        <v>59</v>
      </c>
      <c r="K47" s="226" t="s">
        <v>60</v>
      </c>
      <c r="L47" s="133" t="s">
        <v>867</v>
      </c>
      <c r="M47" s="53">
        <v>1</v>
      </c>
      <c r="N47" s="113">
        <v>0.2</v>
      </c>
      <c r="O47" s="112">
        <v>0.2</v>
      </c>
      <c r="P47" s="53">
        <v>0.2</v>
      </c>
      <c r="Q47" s="53">
        <v>0.2</v>
      </c>
      <c r="R47" s="53">
        <v>0.2</v>
      </c>
      <c r="S47" s="133" t="s">
        <v>1258</v>
      </c>
      <c r="T47" s="34"/>
      <c r="U47" s="127" t="s">
        <v>321</v>
      </c>
      <c r="V47" s="136" t="s">
        <v>1049</v>
      </c>
      <c r="W47" s="178">
        <v>0.5</v>
      </c>
      <c r="X47" s="159" t="s">
        <v>1827</v>
      </c>
      <c r="Y47" s="136" t="s">
        <v>1738</v>
      </c>
      <c r="Z47" s="157"/>
      <c r="AA47" s="157"/>
    </row>
    <row r="48" spans="1:27" s="57" customFormat="1" ht="135">
      <c r="A48" s="34"/>
      <c r="B48" s="34"/>
      <c r="C48" s="34"/>
      <c r="D48" s="34"/>
      <c r="E48" s="34"/>
      <c r="F48" s="34"/>
      <c r="G48" s="128" t="s">
        <v>1179</v>
      </c>
      <c r="H48" s="133" t="s">
        <v>61</v>
      </c>
      <c r="I48" s="133" t="s">
        <v>386</v>
      </c>
      <c r="J48" s="133" t="s">
        <v>276</v>
      </c>
      <c r="K48" s="133" t="s">
        <v>277</v>
      </c>
      <c r="L48" s="133" t="s">
        <v>383</v>
      </c>
      <c r="M48" s="53">
        <v>1</v>
      </c>
      <c r="N48" s="113">
        <v>0.2</v>
      </c>
      <c r="O48" s="53">
        <v>0.2</v>
      </c>
      <c r="P48" s="53">
        <v>0.2</v>
      </c>
      <c r="Q48" s="53">
        <v>0.2</v>
      </c>
      <c r="R48" s="53">
        <v>0.2</v>
      </c>
      <c r="S48" s="133" t="s">
        <v>384</v>
      </c>
      <c r="T48" s="34"/>
      <c r="U48" s="133" t="s">
        <v>385</v>
      </c>
      <c r="V48" s="136" t="s">
        <v>1050</v>
      </c>
      <c r="W48" s="178">
        <v>1</v>
      </c>
      <c r="X48" s="157"/>
      <c r="Y48" s="116"/>
      <c r="Z48" s="157"/>
      <c r="AA48" s="157"/>
    </row>
    <row r="49" spans="1:27" s="57" customFormat="1" ht="90" hidden="1">
      <c r="A49" s="34"/>
      <c r="B49" s="34"/>
      <c r="C49" s="34"/>
      <c r="D49" s="34"/>
      <c r="E49" s="34"/>
      <c r="F49" s="34"/>
      <c r="G49" s="34"/>
      <c r="H49" s="133"/>
      <c r="I49" s="133" t="s">
        <v>387</v>
      </c>
      <c r="J49" s="133" t="s">
        <v>62</v>
      </c>
      <c r="K49" s="133" t="s">
        <v>63</v>
      </c>
      <c r="L49" s="133" t="s">
        <v>389</v>
      </c>
      <c r="M49" s="53">
        <v>0.5</v>
      </c>
      <c r="N49" s="53"/>
      <c r="O49" s="53"/>
      <c r="P49" s="53">
        <v>1</v>
      </c>
      <c r="Q49" s="61"/>
      <c r="R49" s="61"/>
      <c r="S49" s="133" t="s">
        <v>390</v>
      </c>
      <c r="T49" s="133" t="s">
        <v>391</v>
      </c>
      <c r="U49" s="234" t="s">
        <v>392</v>
      </c>
      <c r="V49" s="157" t="s">
        <v>1704</v>
      </c>
      <c r="W49" s="178"/>
      <c r="X49" s="157"/>
      <c r="Y49" s="157" t="s">
        <v>1704</v>
      </c>
      <c r="Z49" s="157"/>
      <c r="AA49" s="157"/>
    </row>
    <row r="50" spans="1:27" s="57" customFormat="1" ht="45" hidden="1">
      <c r="A50" s="34"/>
      <c r="B50" s="34"/>
      <c r="C50" s="34"/>
      <c r="D50" s="34"/>
      <c r="E50" s="34"/>
      <c r="F50" s="34"/>
      <c r="G50" s="34"/>
      <c r="H50" s="133"/>
      <c r="I50" s="133"/>
      <c r="J50" s="133"/>
      <c r="K50" s="133" t="s">
        <v>64</v>
      </c>
      <c r="L50" s="133" t="s">
        <v>393</v>
      </c>
      <c r="M50" s="53">
        <v>0.5</v>
      </c>
      <c r="N50" s="53"/>
      <c r="O50" s="53"/>
      <c r="P50" s="61"/>
      <c r="Q50" s="61"/>
      <c r="R50" s="53">
        <v>1</v>
      </c>
      <c r="S50" s="133" t="s">
        <v>390</v>
      </c>
      <c r="T50" s="34"/>
      <c r="U50" s="299"/>
      <c r="V50" s="157" t="s">
        <v>1704</v>
      </c>
      <c r="W50" s="178"/>
      <c r="X50" s="157"/>
      <c r="Y50" s="157" t="s">
        <v>1704</v>
      </c>
      <c r="Z50" s="157"/>
      <c r="AA50" s="157"/>
    </row>
    <row r="51" spans="1:27" s="57" customFormat="1" ht="15" hidden="1" customHeight="1">
      <c r="A51" s="34"/>
      <c r="B51" s="34"/>
      <c r="C51" s="34"/>
      <c r="D51" s="34"/>
      <c r="E51" s="34"/>
      <c r="F51" s="34"/>
      <c r="G51" s="34"/>
      <c r="H51" s="133"/>
      <c r="I51" s="133"/>
      <c r="J51" s="133"/>
      <c r="K51" s="133"/>
      <c r="L51" s="133"/>
      <c r="M51" s="53"/>
      <c r="N51" s="53"/>
      <c r="O51" s="53"/>
      <c r="P51" s="61"/>
      <c r="Q51" s="61"/>
      <c r="R51" s="61"/>
      <c r="S51" s="34"/>
      <c r="T51" s="34"/>
      <c r="U51" s="34"/>
      <c r="V51" s="31"/>
      <c r="W51" s="178"/>
      <c r="X51" s="157"/>
      <c r="Y51" s="157"/>
      <c r="Z51" s="157"/>
      <c r="AA51" s="157"/>
    </row>
    <row r="52" spans="1:27" s="57" customFormat="1" ht="15" hidden="1" customHeight="1">
      <c r="A52" s="34"/>
      <c r="B52" s="34"/>
      <c r="C52" s="34"/>
      <c r="D52" s="34"/>
      <c r="E52" s="34"/>
      <c r="F52" s="34"/>
      <c r="G52" s="34"/>
      <c r="H52" s="133"/>
      <c r="I52" s="133"/>
      <c r="J52" s="133"/>
      <c r="K52" s="133"/>
      <c r="L52" s="133"/>
      <c r="M52" s="53"/>
      <c r="N52" s="53"/>
      <c r="O52" s="53"/>
      <c r="P52" s="61"/>
      <c r="Q52" s="61"/>
      <c r="R52" s="61"/>
      <c r="S52" s="34"/>
      <c r="T52" s="34"/>
      <c r="U52" s="34"/>
      <c r="V52" s="31"/>
      <c r="W52" s="178"/>
      <c r="X52" s="157"/>
      <c r="Y52" s="157"/>
      <c r="Z52" s="157"/>
      <c r="AA52" s="157"/>
    </row>
    <row r="53" spans="1:27" s="57" customFormat="1" ht="15" hidden="1" customHeight="1">
      <c r="A53" s="34"/>
      <c r="B53" s="34"/>
      <c r="C53" s="34"/>
      <c r="D53" s="34"/>
      <c r="E53" s="34"/>
      <c r="F53" s="34"/>
      <c r="G53" s="34"/>
      <c r="H53" s="133"/>
      <c r="I53" s="133"/>
      <c r="J53" s="133"/>
      <c r="K53" s="133"/>
      <c r="L53" s="133"/>
      <c r="M53" s="53"/>
      <c r="N53" s="53"/>
      <c r="O53" s="53"/>
      <c r="P53" s="61"/>
      <c r="Q53" s="61"/>
      <c r="R53" s="61"/>
      <c r="S53" s="34"/>
      <c r="T53" s="34"/>
      <c r="U53" s="34"/>
      <c r="V53" s="31"/>
      <c r="W53" s="178"/>
      <c r="X53" s="157"/>
      <c r="Y53" s="157"/>
      <c r="Z53" s="157"/>
      <c r="AA53" s="157"/>
    </row>
    <row r="54" spans="1:27" s="57" customFormat="1" ht="15" hidden="1" customHeight="1">
      <c r="A54" s="34"/>
      <c r="B54" s="34"/>
      <c r="C54" s="34"/>
      <c r="D54" s="34"/>
      <c r="E54" s="34"/>
      <c r="F54" s="34"/>
      <c r="G54" s="34"/>
      <c r="H54" s="127"/>
      <c r="I54" s="127"/>
      <c r="J54" s="127"/>
      <c r="K54" s="127"/>
      <c r="L54" s="127"/>
      <c r="M54" s="72"/>
      <c r="N54" s="53"/>
      <c r="O54" s="53"/>
      <c r="P54" s="61"/>
      <c r="Q54" s="61"/>
      <c r="R54" s="61"/>
      <c r="S54" s="34"/>
      <c r="T54" s="65"/>
      <c r="U54" s="65"/>
      <c r="V54" s="31"/>
      <c r="W54" s="178"/>
      <c r="X54" s="157"/>
      <c r="Y54" s="157"/>
      <c r="Z54" s="157"/>
      <c r="AA54" s="157"/>
    </row>
    <row r="55" spans="1:27" s="57" customFormat="1" ht="143.25" customHeight="1" thickBot="1">
      <c r="A55" s="288" t="s">
        <v>1235</v>
      </c>
      <c r="B55" s="234" t="s">
        <v>1545</v>
      </c>
      <c r="C55" s="133" t="s">
        <v>1565</v>
      </c>
      <c r="D55" s="63">
        <v>40909</v>
      </c>
      <c r="E55" s="63">
        <v>44896</v>
      </c>
      <c r="F55" s="133" t="s">
        <v>1212</v>
      </c>
      <c r="G55" s="128" t="s">
        <v>1179</v>
      </c>
      <c r="H55" s="133" t="s">
        <v>1390</v>
      </c>
      <c r="I55" s="34"/>
      <c r="J55" s="234" t="s">
        <v>1391</v>
      </c>
      <c r="K55" s="133" t="s">
        <v>1393</v>
      </c>
      <c r="L55" s="133" t="s">
        <v>1296</v>
      </c>
      <c r="M55" s="53">
        <v>0.1</v>
      </c>
      <c r="N55" s="53">
        <v>1</v>
      </c>
      <c r="O55" s="34"/>
      <c r="P55" s="34"/>
      <c r="Q55" s="34"/>
      <c r="R55" s="34"/>
      <c r="S55" s="133" t="s">
        <v>1212</v>
      </c>
      <c r="T55" s="34"/>
      <c r="U55" s="133" t="s">
        <v>1677</v>
      </c>
      <c r="V55" s="179"/>
      <c r="W55" s="156">
        <v>0.5</v>
      </c>
      <c r="X55" s="106" t="s">
        <v>1808</v>
      </c>
      <c r="Y55" s="157"/>
      <c r="Z55" s="157"/>
      <c r="AA55" s="157"/>
    </row>
    <row r="56" spans="1:27" s="57" customFormat="1" ht="112.5" hidden="1" customHeight="1">
      <c r="A56" s="288"/>
      <c r="B56" s="269"/>
      <c r="C56" s="133"/>
      <c r="D56" s="63"/>
      <c r="E56" s="63"/>
      <c r="F56" s="133"/>
      <c r="G56" s="128" t="s">
        <v>1179</v>
      </c>
      <c r="H56" s="34"/>
      <c r="I56" s="34"/>
      <c r="J56" s="269"/>
      <c r="K56" s="133" t="s">
        <v>1658</v>
      </c>
      <c r="L56" s="133" t="s">
        <v>1295</v>
      </c>
      <c r="M56" s="53">
        <v>0.3</v>
      </c>
      <c r="N56" s="34"/>
      <c r="O56" s="53">
        <v>0.25</v>
      </c>
      <c r="P56" s="53">
        <v>0.25</v>
      </c>
      <c r="Q56" s="53">
        <v>0.25</v>
      </c>
      <c r="R56" s="53">
        <v>0.25</v>
      </c>
      <c r="S56" s="133"/>
      <c r="T56" s="34"/>
      <c r="U56" s="133" t="s">
        <v>1677</v>
      </c>
      <c r="V56" s="179"/>
      <c r="W56" s="178"/>
      <c r="X56" s="157"/>
      <c r="Y56" s="157"/>
      <c r="Z56" s="157"/>
      <c r="AA56" s="157"/>
    </row>
    <row r="57" spans="1:27" s="57" customFormat="1" ht="121.5" hidden="1" customHeight="1">
      <c r="A57" s="288"/>
      <c r="B57" s="269"/>
      <c r="C57" s="133" t="s">
        <v>1546</v>
      </c>
      <c r="D57" s="63">
        <v>40909</v>
      </c>
      <c r="E57" s="63">
        <v>44896</v>
      </c>
      <c r="F57" s="133" t="s">
        <v>1212</v>
      </c>
      <c r="G57" s="128" t="s">
        <v>1179</v>
      </c>
      <c r="H57" s="34"/>
      <c r="I57" s="34"/>
      <c r="J57" s="269"/>
      <c r="K57" s="133" t="s">
        <v>1392</v>
      </c>
      <c r="L57" s="133" t="s">
        <v>1300</v>
      </c>
      <c r="M57" s="53">
        <v>0.1</v>
      </c>
      <c r="N57" s="34"/>
      <c r="O57" s="53">
        <v>1</v>
      </c>
      <c r="P57" s="34"/>
      <c r="Q57" s="34"/>
      <c r="R57" s="34"/>
      <c r="S57" s="133" t="s">
        <v>1212</v>
      </c>
      <c r="T57" s="34"/>
      <c r="U57" s="133" t="s">
        <v>1677</v>
      </c>
      <c r="V57" s="179"/>
      <c r="W57" s="178"/>
      <c r="X57" s="157"/>
      <c r="Y57" s="157"/>
      <c r="Z57" s="157"/>
      <c r="AA57" s="157"/>
    </row>
    <row r="58" spans="1:27" s="57" customFormat="1" ht="150" hidden="1" customHeight="1">
      <c r="A58" s="288"/>
      <c r="B58" s="269"/>
      <c r="C58" s="133" t="s">
        <v>1547</v>
      </c>
      <c r="D58" s="63">
        <v>40909</v>
      </c>
      <c r="E58" s="63">
        <v>44896</v>
      </c>
      <c r="F58" s="133" t="s">
        <v>1212</v>
      </c>
      <c r="G58" s="128" t="s">
        <v>1179</v>
      </c>
      <c r="H58" s="34"/>
      <c r="I58" s="34"/>
      <c r="J58" s="269"/>
      <c r="K58" s="133" t="s">
        <v>1659</v>
      </c>
      <c r="L58" s="133" t="s">
        <v>1299</v>
      </c>
      <c r="M58" s="53">
        <v>0.3</v>
      </c>
      <c r="N58" s="34"/>
      <c r="O58" s="53">
        <v>0.25</v>
      </c>
      <c r="P58" s="53">
        <v>0.25</v>
      </c>
      <c r="Q58" s="53">
        <v>0.25</v>
      </c>
      <c r="R58" s="53">
        <v>0.25</v>
      </c>
      <c r="S58" s="133" t="s">
        <v>1212</v>
      </c>
      <c r="T58" s="34"/>
      <c r="U58" s="133" t="s">
        <v>1677</v>
      </c>
      <c r="V58" s="179"/>
      <c r="W58" s="178"/>
      <c r="X58" s="157"/>
      <c r="Y58" s="157"/>
      <c r="Z58" s="157"/>
      <c r="AA58" s="157"/>
    </row>
    <row r="59" spans="1:27" s="57" customFormat="1" ht="86.25" customHeight="1">
      <c r="A59" s="288"/>
      <c r="B59" s="269"/>
      <c r="C59" s="133" t="s">
        <v>1549</v>
      </c>
      <c r="D59" s="63">
        <v>40909</v>
      </c>
      <c r="E59" s="63" t="s">
        <v>1244</v>
      </c>
      <c r="F59" s="133" t="s">
        <v>1212</v>
      </c>
      <c r="G59" s="128" t="s">
        <v>1179</v>
      </c>
      <c r="H59" s="34"/>
      <c r="I59" s="34"/>
      <c r="J59" s="269"/>
      <c r="K59" s="133" t="s">
        <v>1548</v>
      </c>
      <c r="L59" s="133" t="s">
        <v>720</v>
      </c>
      <c r="M59" s="53">
        <v>0.1</v>
      </c>
      <c r="N59" s="53">
        <v>1</v>
      </c>
      <c r="O59" s="34"/>
      <c r="P59" s="34"/>
      <c r="Q59" s="34"/>
      <c r="R59" s="34"/>
      <c r="S59" s="133" t="s">
        <v>1212</v>
      </c>
      <c r="T59" s="34"/>
      <c r="U59" s="133" t="s">
        <v>1677</v>
      </c>
      <c r="V59" s="179"/>
      <c r="W59" s="178">
        <v>1</v>
      </c>
      <c r="X59" s="157"/>
      <c r="Y59" s="157"/>
      <c r="Z59" s="157"/>
      <c r="AA59" s="157"/>
    </row>
    <row r="60" spans="1:27" s="57" customFormat="1" ht="105.75" customHeight="1">
      <c r="A60" s="288"/>
      <c r="B60" s="270"/>
      <c r="C60" s="133" t="s">
        <v>1550</v>
      </c>
      <c r="D60" s="63">
        <v>40909</v>
      </c>
      <c r="E60" s="63" t="s">
        <v>1244</v>
      </c>
      <c r="F60" s="133" t="s">
        <v>1212</v>
      </c>
      <c r="G60" s="128" t="s">
        <v>1179</v>
      </c>
      <c r="H60" s="34"/>
      <c r="I60" s="34"/>
      <c r="J60" s="270"/>
      <c r="K60" s="226" t="s">
        <v>1882</v>
      </c>
      <c r="L60" s="133" t="s">
        <v>720</v>
      </c>
      <c r="M60" s="53">
        <v>0.1</v>
      </c>
      <c r="N60" s="53">
        <v>1</v>
      </c>
      <c r="O60" s="53"/>
      <c r="P60" s="34"/>
      <c r="Q60" s="34"/>
      <c r="R60" s="34"/>
      <c r="S60" s="133" t="s">
        <v>1212</v>
      </c>
      <c r="T60" s="34"/>
      <c r="U60" s="133" t="s">
        <v>1677</v>
      </c>
      <c r="V60" s="179"/>
      <c r="W60" s="54">
        <v>0</v>
      </c>
      <c r="X60" s="159" t="s">
        <v>1809</v>
      </c>
      <c r="Y60" s="157"/>
      <c r="Z60" s="157"/>
      <c r="AA60" s="157"/>
    </row>
    <row r="61" spans="1:27" s="57" customFormat="1" ht="125.25" hidden="1" customHeight="1">
      <c r="A61" s="288"/>
      <c r="B61" s="234" t="s">
        <v>1551</v>
      </c>
      <c r="C61" s="133" t="s">
        <v>1552</v>
      </c>
      <c r="D61" s="63">
        <v>41061</v>
      </c>
      <c r="E61" s="63">
        <v>41487</v>
      </c>
      <c r="F61" s="133" t="s">
        <v>1212</v>
      </c>
      <c r="G61" s="128" t="s">
        <v>1179</v>
      </c>
      <c r="H61" s="133" t="s">
        <v>1394</v>
      </c>
      <c r="I61" s="34"/>
      <c r="J61" s="234" t="s">
        <v>1395</v>
      </c>
      <c r="K61" s="133" t="s">
        <v>1396</v>
      </c>
      <c r="L61" s="133" t="s">
        <v>1301</v>
      </c>
      <c r="M61" s="53">
        <v>0.33</v>
      </c>
      <c r="N61" s="34"/>
      <c r="O61" s="53">
        <v>1</v>
      </c>
      <c r="P61" s="34"/>
      <c r="Q61" s="34"/>
      <c r="R61" s="34"/>
      <c r="S61" s="133" t="s">
        <v>1212</v>
      </c>
      <c r="T61" s="34"/>
      <c r="U61" s="133" t="s">
        <v>1677</v>
      </c>
      <c r="V61" s="179"/>
      <c r="W61" s="178"/>
      <c r="X61" s="157"/>
      <c r="Y61" s="157"/>
      <c r="Z61" s="157"/>
      <c r="AA61" s="157"/>
    </row>
    <row r="62" spans="1:27" s="57" customFormat="1" ht="95.25" hidden="1" customHeight="1">
      <c r="A62" s="288"/>
      <c r="B62" s="269"/>
      <c r="C62" s="133" t="s">
        <v>1553</v>
      </c>
      <c r="D62" s="63">
        <v>41061</v>
      </c>
      <c r="E62" s="63">
        <v>41487</v>
      </c>
      <c r="F62" s="133" t="s">
        <v>1212</v>
      </c>
      <c r="G62" s="128" t="s">
        <v>1179</v>
      </c>
      <c r="H62" s="34"/>
      <c r="I62" s="34"/>
      <c r="J62" s="269"/>
      <c r="K62" s="133" t="s">
        <v>1397</v>
      </c>
      <c r="L62" s="133" t="s">
        <v>1302</v>
      </c>
      <c r="M62" s="53">
        <v>0.33</v>
      </c>
      <c r="N62" s="34"/>
      <c r="O62" s="53">
        <v>1</v>
      </c>
      <c r="P62" s="34"/>
      <c r="Q62" s="34"/>
      <c r="R62" s="34"/>
      <c r="S62" s="133" t="s">
        <v>1212</v>
      </c>
      <c r="T62" s="34"/>
      <c r="U62" s="133" t="s">
        <v>1677</v>
      </c>
      <c r="V62" s="179"/>
      <c r="W62" s="178"/>
      <c r="X62" s="157"/>
      <c r="Y62" s="157"/>
      <c r="Z62" s="157"/>
      <c r="AA62" s="157"/>
    </row>
    <row r="63" spans="1:27" s="57" customFormat="1" ht="112.5" hidden="1" customHeight="1">
      <c r="A63" s="288"/>
      <c r="B63" s="270"/>
      <c r="C63" s="133" t="s">
        <v>1555</v>
      </c>
      <c r="D63" s="63">
        <v>41061</v>
      </c>
      <c r="E63" s="63">
        <v>41609</v>
      </c>
      <c r="F63" s="133" t="s">
        <v>1212</v>
      </c>
      <c r="G63" s="128" t="s">
        <v>1179</v>
      </c>
      <c r="H63" s="34"/>
      <c r="I63" s="34"/>
      <c r="J63" s="270"/>
      <c r="K63" s="133" t="s">
        <v>1398</v>
      </c>
      <c r="L63" s="133" t="s">
        <v>1301</v>
      </c>
      <c r="M63" s="53">
        <v>0.34</v>
      </c>
      <c r="N63" s="34"/>
      <c r="O63" s="53">
        <v>1</v>
      </c>
      <c r="P63" s="34"/>
      <c r="Q63" s="34"/>
      <c r="R63" s="34"/>
      <c r="S63" s="133" t="s">
        <v>1212</v>
      </c>
      <c r="T63" s="34"/>
      <c r="U63" s="133" t="s">
        <v>1677</v>
      </c>
      <c r="V63" s="179"/>
      <c r="W63" s="178"/>
      <c r="X63" s="157"/>
      <c r="Y63" s="157"/>
      <c r="Z63" s="157"/>
      <c r="AA63" s="157"/>
    </row>
    <row r="64" spans="1:27" s="57" customFormat="1" ht="117" hidden="1" customHeight="1">
      <c r="A64" s="288"/>
      <c r="B64" s="288" t="s">
        <v>1554</v>
      </c>
      <c r="C64" s="133" t="s">
        <v>1556</v>
      </c>
      <c r="D64" s="63">
        <v>41275</v>
      </c>
      <c r="E64" s="63">
        <v>44896</v>
      </c>
      <c r="F64" s="133" t="s">
        <v>1226</v>
      </c>
      <c r="G64" s="128" t="s">
        <v>1179</v>
      </c>
      <c r="H64" s="133" t="s">
        <v>1403</v>
      </c>
      <c r="I64" s="34"/>
      <c r="J64" s="288" t="s">
        <v>1399</v>
      </c>
      <c r="K64" s="133" t="s">
        <v>1400</v>
      </c>
      <c r="L64" s="133" t="s">
        <v>1385</v>
      </c>
      <c r="M64" s="53">
        <v>0.33</v>
      </c>
      <c r="N64" s="34"/>
      <c r="O64" s="53">
        <v>0.25</v>
      </c>
      <c r="P64" s="53">
        <v>0.25</v>
      </c>
      <c r="Q64" s="53">
        <v>0.25</v>
      </c>
      <c r="R64" s="53">
        <v>0.25</v>
      </c>
      <c r="S64" s="133" t="s">
        <v>1226</v>
      </c>
      <c r="T64" s="34"/>
      <c r="U64" s="133" t="s">
        <v>1677</v>
      </c>
      <c r="V64" s="179"/>
      <c r="W64" s="178"/>
      <c r="X64" s="157"/>
      <c r="Y64" s="157"/>
      <c r="Z64" s="157"/>
      <c r="AA64" s="157"/>
    </row>
    <row r="65" spans="1:27" s="57" customFormat="1" ht="220.5" customHeight="1" thickBot="1">
      <c r="A65" s="288"/>
      <c r="B65" s="303"/>
      <c r="C65" s="133" t="s">
        <v>1557</v>
      </c>
      <c r="D65" s="63">
        <v>41275</v>
      </c>
      <c r="E65" s="63">
        <v>41244</v>
      </c>
      <c r="F65" s="133" t="s">
        <v>1226</v>
      </c>
      <c r="G65" s="128" t="s">
        <v>1179</v>
      </c>
      <c r="H65" s="34"/>
      <c r="I65" s="34"/>
      <c r="J65" s="303"/>
      <c r="K65" s="133" t="s">
        <v>1401</v>
      </c>
      <c r="L65" s="133" t="s">
        <v>1386</v>
      </c>
      <c r="M65" s="53">
        <v>0.33</v>
      </c>
      <c r="N65" s="53">
        <v>1</v>
      </c>
      <c r="O65" s="34"/>
      <c r="P65" s="34"/>
      <c r="Q65" s="34"/>
      <c r="R65" s="34"/>
      <c r="S65" s="133" t="s">
        <v>1226</v>
      </c>
      <c r="T65" s="34"/>
      <c r="U65" s="133" t="s">
        <v>1677</v>
      </c>
      <c r="V65" s="179"/>
      <c r="W65" s="54">
        <v>0.75</v>
      </c>
      <c r="X65" s="106" t="s">
        <v>1806</v>
      </c>
      <c r="Y65" s="157"/>
      <c r="Z65" s="157"/>
      <c r="AA65" s="157"/>
    </row>
    <row r="66" spans="1:27" s="57" customFormat="1" ht="114.75" hidden="1" customHeight="1">
      <c r="A66" s="288"/>
      <c r="B66" s="303"/>
      <c r="C66" s="133" t="s">
        <v>1558</v>
      </c>
      <c r="D66" s="63">
        <v>41275</v>
      </c>
      <c r="E66" s="63">
        <v>44896</v>
      </c>
      <c r="F66" s="133" t="s">
        <v>1226</v>
      </c>
      <c r="G66" s="128" t="s">
        <v>1179</v>
      </c>
      <c r="H66" s="34"/>
      <c r="I66" s="34"/>
      <c r="J66" s="303"/>
      <c r="K66" s="133" t="s">
        <v>1402</v>
      </c>
      <c r="L66" s="133" t="s">
        <v>1385</v>
      </c>
      <c r="M66" s="53">
        <v>0.34</v>
      </c>
      <c r="N66" s="34"/>
      <c r="O66" s="53">
        <v>0.25</v>
      </c>
      <c r="P66" s="53">
        <v>0.25</v>
      </c>
      <c r="Q66" s="53">
        <v>0.25</v>
      </c>
      <c r="R66" s="53">
        <v>0.25</v>
      </c>
      <c r="S66" s="133" t="s">
        <v>1226</v>
      </c>
      <c r="T66" s="34"/>
      <c r="U66" s="133" t="s">
        <v>1677</v>
      </c>
      <c r="V66" s="179"/>
      <c r="W66" s="178"/>
      <c r="X66" s="157"/>
      <c r="Y66" s="157"/>
      <c r="Z66" s="157"/>
      <c r="AA66" s="157"/>
    </row>
    <row r="67" spans="1:27" s="57" customFormat="1" ht="156" customHeight="1" thickBot="1">
      <c r="A67" s="288"/>
      <c r="B67" s="288" t="s">
        <v>1559</v>
      </c>
      <c r="C67" s="133" t="s">
        <v>1560</v>
      </c>
      <c r="D67" s="63">
        <v>41275</v>
      </c>
      <c r="E67" s="63">
        <v>43070</v>
      </c>
      <c r="F67" s="133" t="s">
        <v>1231</v>
      </c>
      <c r="G67" s="128" t="s">
        <v>1179</v>
      </c>
      <c r="H67" s="133" t="s">
        <v>1377</v>
      </c>
      <c r="I67" s="34"/>
      <c r="J67" s="288" t="s">
        <v>1404</v>
      </c>
      <c r="K67" s="133" t="s">
        <v>1405</v>
      </c>
      <c r="L67" s="133" t="s">
        <v>1387</v>
      </c>
      <c r="M67" s="53">
        <v>0.33</v>
      </c>
      <c r="N67" s="53">
        <v>1</v>
      </c>
      <c r="O67" s="34"/>
      <c r="P67" s="34"/>
      <c r="Q67" s="34"/>
      <c r="R67" s="34"/>
      <c r="S67" s="133" t="s">
        <v>1231</v>
      </c>
      <c r="T67" s="34"/>
      <c r="U67" s="133" t="s">
        <v>1677</v>
      </c>
      <c r="V67" s="179"/>
      <c r="W67" s="54">
        <v>0.75</v>
      </c>
      <c r="X67" s="106" t="s">
        <v>1807</v>
      </c>
      <c r="Y67" s="157"/>
      <c r="Z67" s="157"/>
      <c r="AA67" s="157"/>
    </row>
    <row r="68" spans="1:27" s="57" customFormat="1" ht="97.5" hidden="1" customHeight="1">
      <c r="A68" s="288"/>
      <c r="B68" s="303"/>
      <c r="C68" s="133" t="s">
        <v>1561</v>
      </c>
      <c r="D68" s="63">
        <v>41275</v>
      </c>
      <c r="E68" s="63">
        <v>43070</v>
      </c>
      <c r="F68" s="133" t="s">
        <v>1231</v>
      </c>
      <c r="G68" s="128" t="s">
        <v>1179</v>
      </c>
      <c r="H68" s="34"/>
      <c r="I68" s="34"/>
      <c r="J68" s="303"/>
      <c r="K68" s="133" t="s">
        <v>1406</v>
      </c>
      <c r="L68" s="133" t="s">
        <v>1387</v>
      </c>
      <c r="M68" s="53">
        <v>0.34</v>
      </c>
      <c r="N68" s="34"/>
      <c r="O68" s="34"/>
      <c r="P68" s="53">
        <v>1</v>
      </c>
      <c r="Q68" s="34"/>
      <c r="R68" s="34"/>
      <c r="S68" s="133" t="s">
        <v>1231</v>
      </c>
      <c r="T68" s="34"/>
      <c r="U68" s="133" t="s">
        <v>1677</v>
      </c>
      <c r="V68" s="179"/>
      <c r="W68" s="178"/>
      <c r="X68" s="157"/>
      <c r="Y68" s="157"/>
      <c r="Z68" s="157"/>
      <c r="AA68" s="157"/>
    </row>
    <row r="69" spans="1:27" s="57" customFormat="1" ht="164.25" hidden="1" customHeight="1">
      <c r="A69" s="288"/>
      <c r="B69" s="303"/>
      <c r="C69" s="133" t="s">
        <v>1562</v>
      </c>
      <c r="D69" s="63">
        <v>41275</v>
      </c>
      <c r="E69" s="63">
        <v>43070</v>
      </c>
      <c r="F69" s="133" t="s">
        <v>1231</v>
      </c>
      <c r="G69" s="128" t="s">
        <v>1179</v>
      </c>
      <c r="H69" s="34"/>
      <c r="I69" s="34"/>
      <c r="J69" s="303"/>
      <c r="K69" s="133" t="s">
        <v>1407</v>
      </c>
      <c r="L69" s="133" t="s">
        <v>1388</v>
      </c>
      <c r="M69" s="53">
        <v>0.33</v>
      </c>
      <c r="N69" s="34"/>
      <c r="O69" s="53">
        <v>0.25</v>
      </c>
      <c r="P69" s="53">
        <v>0.25</v>
      </c>
      <c r="Q69" s="53">
        <v>0.25</v>
      </c>
      <c r="R69" s="53">
        <v>0.25</v>
      </c>
      <c r="S69" s="133" t="s">
        <v>1231</v>
      </c>
      <c r="T69" s="34"/>
      <c r="U69" s="133" t="s">
        <v>1677</v>
      </c>
      <c r="V69" s="179"/>
      <c r="W69" s="178"/>
      <c r="X69" s="157"/>
      <c r="Y69" s="157"/>
      <c r="Z69" s="157"/>
      <c r="AA69" s="157"/>
    </row>
    <row r="70" spans="1:27" s="57" customFormat="1" ht="99" hidden="1" customHeight="1">
      <c r="A70" s="288"/>
      <c r="B70" s="303"/>
      <c r="C70" s="133" t="s">
        <v>1230</v>
      </c>
      <c r="D70" s="63">
        <v>41275</v>
      </c>
      <c r="E70" s="63">
        <v>43070</v>
      </c>
      <c r="F70" s="59" t="s">
        <v>1231</v>
      </c>
      <c r="G70" s="128" t="s">
        <v>1179</v>
      </c>
      <c r="H70" s="34"/>
      <c r="I70" s="34"/>
      <c r="J70" s="303"/>
      <c r="K70" s="185"/>
      <c r="L70" s="87"/>
      <c r="M70" s="87"/>
      <c r="N70" s="87"/>
      <c r="O70" s="87"/>
      <c r="P70" s="87"/>
      <c r="Q70" s="87"/>
      <c r="R70" s="87"/>
      <c r="S70" s="186"/>
      <c r="T70" s="34"/>
      <c r="U70" s="133" t="s">
        <v>1677</v>
      </c>
      <c r="V70" s="179"/>
      <c r="W70" s="178"/>
      <c r="X70" s="157"/>
      <c r="Y70" s="157"/>
      <c r="Z70" s="157"/>
      <c r="AA70" s="157"/>
    </row>
    <row r="71" spans="1:27" s="57" customFormat="1" ht="122.25" customHeight="1">
      <c r="A71" s="288"/>
      <c r="B71" s="133" t="s">
        <v>1563</v>
      </c>
      <c r="C71" s="133" t="s">
        <v>1564</v>
      </c>
      <c r="D71" s="63">
        <v>40909</v>
      </c>
      <c r="E71" s="63">
        <v>44896</v>
      </c>
      <c r="F71" s="59" t="s">
        <v>1231</v>
      </c>
      <c r="G71" s="128" t="s">
        <v>1179</v>
      </c>
      <c r="H71" s="133" t="s">
        <v>1408</v>
      </c>
      <c r="I71" s="34"/>
      <c r="J71" s="133" t="s">
        <v>1409</v>
      </c>
      <c r="K71" s="133" t="s">
        <v>1410</v>
      </c>
      <c r="L71" s="133" t="s">
        <v>1389</v>
      </c>
      <c r="M71" s="53">
        <v>1</v>
      </c>
      <c r="N71" s="53">
        <v>0.2</v>
      </c>
      <c r="O71" s="53">
        <v>0.2</v>
      </c>
      <c r="P71" s="53">
        <v>0.2</v>
      </c>
      <c r="Q71" s="53">
        <v>0.2</v>
      </c>
      <c r="R71" s="53">
        <v>0.2</v>
      </c>
      <c r="S71" s="59" t="s">
        <v>1231</v>
      </c>
      <c r="T71" s="34"/>
      <c r="U71" s="133" t="s">
        <v>1677</v>
      </c>
      <c r="V71" s="157"/>
      <c r="W71" s="54">
        <v>1</v>
      </c>
      <c r="X71" s="157"/>
      <c r="Y71" s="157"/>
      <c r="Z71" s="157"/>
      <c r="AA71" s="157"/>
    </row>
  </sheetData>
  <protectedRanges>
    <protectedRange sqref="V21" name="Rango1_7_4"/>
    <protectedRange sqref="V47" name="Rango1_7_1_1_2"/>
    <protectedRange sqref="V31" name="Rango1_4_19"/>
    <protectedRange sqref="V32" name="Rango1_4_1_2"/>
    <protectedRange sqref="V33" name="Rango1_4_2_2"/>
    <protectedRange sqref="V38" name="Rango1_4_5_2"/>
    <protectedRange sqref="V40" name="Rango1_4_6_2"/>
    <protectedRange sqref="V41" name="Rango1_4_7_2"/>
    <protectedRange sqref="V44" name="Rango1_4_8_2"/>
    <protectedRange sqref="V42" name="Rango1_4_9_2"/>
    <protectedRange sqref="Y44" name="Rango1_4_10_1"/>
    <protectedRange sqref="Y36:Y37" name="Rango1_4_3_2"/>
    <protectedRange sqref="W40 Y40" name="Rango1_4_4_2"/>
    <protectedRange sqref="W41 Y41" name="Rango1_4_11_1"/>
    <protectedRange sqref="Y11" name="Rango1_5_3"/>
    <protectedRange sqref="Y13" name="Rango1_5_1_1"/>
    <protectedRange sqref="Y17" name="Rango1_7_1_3"/>
    <protectedRange sqref="Y18" name="Rango1_7_2_1"/>
    <protectedRange sqref="Y12" name="Rango1_5_2_1"/>
    <protectedRange sqref="Y19" name="Rango1_7_3_1"/>
    <protectedRange sqref="Y28:Y29" name="Rango1_4_12_1"/>
    <protectedRange sqref="Y46" name="Rango1_4_13_1"/>
    <protectedRange sqref="Y31" name="Rango1_4_14_1"/>
    <protectedRange sqref="Y32" name="Rango1_4_15_1"/>
    <protectedRange sqref="Y33" name="Rango1_4_16_1"/>
    <protectedRange sqref="Y10" name="Rango1_4_17_1"/>
    <protectedRange sqref="Y34" name="Rango1_4_18_1"/>
  </protectedRanges>
  <mergeCells count="36">
    <mergeCell ref="J61:J63"/>
    <mergeCell ref="J64:J66"/>
    <mergeCell ref="J67:J70"/>
    <mergeCell ref="B10:B11"/>
    <mergeCell ref="B8:B9"/>
    <mergeCell ref="C8:C9"/>
    <mergeCell ref="D8:E8"/>
    <mergeCell ref="F8:F9"/>
    <mergeCell ref="J55:J60"/>
    <mergeCell ref="H8:H9"/>
    <mergeCell ref="I8:I9"/>
    <mergeCell ref="J8:J9"/>
    <mergeCell ref="V7:X7"/>
    <mergeCell ref="Y7:AA7"/>
    <mergeCell ref="V8:X8"/>
    <mergeCell ref="Y8:AA8"/>
    <mergeCell ref="T29:T30"/>
    <mergeCell ref="T8:T9"/>
    <mergeCell ref="A55:A71"/>
    <mergeCell ref="B64:B66"/>
    <mergeCell ref="B67:B70"/>
    <mergeCell ref="B55:B60"/>
    <mergeCell ref="B61:B63"/>
    <mergeCell ref="A7:F7"/>
    <mergeCell ref="A8:A9"/>
    <mergeCell ref="U36:U37"/>
    <mergeCell ref="U49:U50"/>
    <mergeCell ref="U29:U30"/>
    <mergeCell ref="U8:U9"/>
    <mergeCell ref="U31:U35"/>
    <mergeCell ref="K8:K9"/>
    <mergeCell ref="G7:U7"/>
    <mergeCell ref="G8:G9"/>
    <mergeCell ref="S8:S9"/>
    <mergeCell ref="L8:L9"/>
    <mergeCell ref="M8:M9"/>
  </mergeCells>
  <phoneticPr fontId="7" type="noConversion"/>
  <printOptions horizontalCentered="1" verticalCentered="1"/>
  <pageMargins left="0.15748031496062992" right="0.15748031496062992" top="0.27559055118110237" bottom="0.35433070866141736" header="0.19685039370078741" footer="0.15748031496062992"/>
  <pageSetup scale="50" orientation="landscape" r:id="rId1"/>
</worksheet>
</file>

<file path=xl/worksheets/sheet4.xml><?xml version="1.0" encoding="utf-8"?>
<worksheet xmlns="http://schemas.openxmlformats.org/spreadsheetml/2006/main" xmlns:r="http://schemas.openxmlformats.org/officeDocument/2006/relationships">
  <dimension ref="A1:AA35"/>
  <sheetViews>
    <sheetView topLeftCell="G1" zoomScale="60" zoomScaleNormal="60" workbookViewId="0">
      <pane ySplit="9" topLeftCell="A10" activePane="bottomLeft" state="frozen"/>
      <selection pane="bottomLeft" activeCell="K10" sqref="K10:K11"/>
    </sheetView>
  </sheetViews>
  <sheetFormatPr baseColWidth="10" defaultRowHeight="15"/>
  <cols>
    <col min="1" max="1" width="21.5703125" style="31" hidden="1" customWidth="1"/>
    <col min="2" max="2" width="29.42578125" style="31" hidden="1" customWidth="1"/>
    <col min="3" max="3" width="23.140625" style="31" hidden="1" customWidth="1"/>
    <col min="4" max="4" width="10.5703125" style="31" hidden="1" customWidth="1"/>
    <col min="5" max="5" width="9" style="31" hidden="1" customWidth="1"/>
    <col min="6" max="6" width="20.140625" style="31" hidden="1" customWidth="1"/>
    <col min="7" max="7" width="25.42578125" style="31" customWidth="1"/>
    <col min="8" max="8" width="22.28515625" style="31" customWidth="1"/>
    <col min="9" max="9" width="22.140625" style="31" customWidth="1"/>
    <col min="10" max="10" width="23.7109375" style="31" customWidth="1"/>
    <col min="11" max="11" width="19.5703125" style="31" customWidth="1"/>
    <col min="12" max="12" width="15.42578125" style="31" customWidth="1"/>
    <col min="13" max="14" width="8.7109375" style="31" customWidth="1"/>
    <col min="15" max="15" width="8.42578125" style="31" hidden="1" customWidth="1"/>
    <col min="16" max="16" width="9.5703125" style="31" hidden="1" customWidth="1"/>
    <col min="17" max="17" width="8.85546875" style="31" hidden="1" customWidth="1"/>
    <col min="18" max="18" width="9.42578125" style="31" hidden="1" customWidth="1"/>
    <col min="19" max="19" width="16.85546875" style="31" customWidth="1"/>
    <col min="20" max="20" width="24.5703125" style="31" hidden="1" customWidth="1"/>
    <col min="21" max="21" width="19.85546875" style="31" hidden="1" customWidth="1"/>
    <col min="22" max="22" width="21.5703125" style="31" customWidth="1"/>
    <col min="23" max="23" width="20" style="31" customWidth="1"/>
    <col min="24" max="24" width="20.28515625" style="31" customWidth="1"/>
    <col min="25" max="25" width="15.7109375" style="31" hidden="1" customWidth="1"/>
    <col min="26" max="26" width="18.140625" style="31" hidden="1" customWidth="1"/>
    <col min="27" max="27" width="16.140625" style="31" hidden="1" customWidth="1"/>
    <col min="28" max="16384" width="11.42578125" style="31"/>
  </cols>
  <sheetData>
    <row r="1" spans="1:27" ht="23.25">
      <c r="G1" s="145" t="s">
        <v>706</v>
      </c>
      <c r="V1" s="143"/>
      <c r="W1" s="146"/>
    </row>
    <row r="2" spans="1:27" ht="23.25">
      <c r="G2" s="145" t="s">
        <v>1855</v>
      </c>
      <c r="V2" s="143"/>
      <c r="W2" s="146"/>
    </row>
    <row r="3" spans="1:27" ht="23.25">
      <c r="B3" s="147"/>
      <c r="C3" s="147"/>
      <c r="D3" s="147"/>
      <c r="E3" s="147"/>
      <c r="F3" s="147"/>
      <c r="G3" s="145" t="s">
        <v>1854</v>
      </c>
      <c r="H3" s="147"/>
      <c r="I3" s="147"/>
      <c r="J3" s="147"/>
      <c r="K3" s="147"/>
      <c r="L3" s="147"/>
      <c r="M3" s="147"/>
      <c r="N3" s="147"/>
      <c r="O3" s="147"/>
      <c r="P3" s="147"/>
      <c r="Q3" s="147"/>
      <c r="R3" s="147"/>
      <c r="S3" s="147"/>
      <c r="T3" s="147"/>
      <c r="U3" s="187"/>
      <c r="V3" s="143"/>
      <c r="W3" s="146"/>
    </row>
    <row r="4" spans="1:27" ht="23.25">
      <c r="B4" s="147"/>
      <c r="C4" s="147"/>
      <c r="D4" s="147"/>
      <c r="E4" s="147"/>
      <c r="F4" s="147"/>
      <c r="G4" s="145" t="s">
        <v>1864</v>
      </c>
      <c r="H4" s="147"/>
      <c r="I4" s="147"/>
      <c r="J4" s="147"/>
      <c r="K4" s="147"/>
      <c r="L4" s="147"/>
      <c r="M4" s="147"/>
      <c r="N4" s="147"/>
      <c r="O4" s="147"/>
      <c r="P4" s="147"/>
      <c r="Q4" s="147"/>
      <c r="R4" s="147"/>
      <c r="S4" s="147"/>
      <c r="T4" s="147"/>
      <c r="U4" s="187"/>
      <c r="V4" s="146"/>
      <c r="W4" s="146"/>
    </row>
    <row r="5" spans="1:27" ht="21">
      <c r="A5" s="291"/>
      <c r="B5" s="291"/>
      <c r="C5" s="291"/>
      <c r="D5" s="291"/>
      <c r="E5" s="291"/>
      <c r="F5" s="291"/>
      <c r="G5" s="291"/>
      <c r="H5" s="291"/>
      <c r="I5" s="291"/>
      <c r="J5" s="291"/>
      <c r="K5" s="291"/>
      <c r="L5" s="291"/>
      <c r="M5" s="291"/>
      <c r="N5" s="291"/>
      <c r="O5" s="291"/>
      <c r="P5" s="291"/>
      <c r="Q5" s="291"/>
      <c r="R5" s="291"/>
      <c r="S5" s="291"/>
      <c r="T5" s="291"/>
      <c r="U5" s="291"/>
    </row>
    <row r="6" spans="1:27" ht="21">
      <c r="H6" s="291"/>
      <c r="I6" s="291"/>
      <c r="J6" s="291"/>
      <c r="K6" s="291"/>
      <c r="L6" s="291"/>
      <c r="M6" s="291"/>
      <c r="N6" s="291"/>
      <c r="O6" s="291"/>
      <c r="P6" s="291"/>
      <c r="Q6" s="291"/>
      <c r="R6" s="291"/>
      <c r="S6" s="291"/>
      <c r="T6" s="291"/>
      <c r="V6" s="284" t="s">
        <v>1690</v>
      </c>
      <c r="W6" s="284"/>
      <c r="X6" s="284"/>
      <c r="Y6" s="285" t="s">
        <v>1690</v>
      </c>
      <c r="Z6" s="285"/>
      <c r="AA6" s="285"/>
    </row>
    <row r="7" spans="1:27" ht="27.75" customHeight="1">
      <c r="A7" s="292" t="s">
        <v>1102</v>
      </c>
      <c r="B7" s="292"/>
      <c r="C7" s="292"/>
      <c r="D7" s="292"/>
      <c r="E7" s="292"/>
      <c r="F7" s="292"/>
      <c r="G7" s="259" t="s">
        <v>1114</v>
      </c>
      <c r="H7" s="259"/>
      <c r="I7" s="259"/>
      <c r="J7" s="259"/>
      <c r="K7" s="259"/>
      <c r="L7" s="259"/>
      <c r="M7" s="259"/>
      <c r="N7" s="259"/>
      <c r="O7" s="259"/>
      <c r="P7" s="259"/>
      <c r="Q7" s="259"/>
      <c r="R7" s="259"/>
      <c r="S7" s="259"/>
      <c r="T7" s="259"/>
      <c r="U7" s="259"/>
      <c r="V7" s="247" t="s">
        <v>1706</v>
      </c>
      <c r="W7" s="248"/>
      <c r="X7" s="249"/>
      <c r="Y7" s="247" t="s">
        <v>1691</v>
      </c>
      <c r="Z7" s="248"/>
      <c r="AA7" s="249"/>
    </row>
    <row r="8" spans="1:27" ht="15" customHeight="1">
      <c r="A8" s="258" t="s">
        <v>1236</v>
      </c>
      <c r="B8" s="258" t="s">
        <v>703</v>
      </c>
      <c r="C8" s="258" t="s">
        <v>700</v>
      </c>
      <c r="D8" s="294" t="s">
        <v>701</v>
      </c>
      <c r="E8" s="295"/>
      <c r="F8" s="258" t="s">
        <v>704</v>
      </c>
      <c r="G8" s="257" t="s">
        <v>711</v>
      </c>
      <c r="H8" s="257" t="s">
        <v>703</v>
      </c>
      <c r="I8" s="188" t="s">
        <v>698</v>
      </c>
      <c r="J8" s="257" t="s">
        <v>699</v>
      </c>
      <c r="K8" s="257" t="s">
        <v>702</v>
      </c>
      <c r="L8" s="188" t="s">
        <v>700</v>
      </c>
      <c r="M8" s="289" t="s">
        <v>451</v>
      </c>
      <c r="N8" s="167" t="s">
        <v>701</v>
      </c>
      <c r="O8" s="168"/>
      <c r="P8" s="168"/>
      <c r="Q8" s="168"/>
      <c r="R8" s="169"/>
      <c r="S8" s="188" t="s">
        <v>704</v>
      </c>
      <c r="T8" s="257" t="s">
        <v>718</v>
      </c>
      <c r="U8" s="257" t="s">
        <v>727</v>
      </c>
      <c r="V8" s="176"/>
      <c r="W8" s="250" t="s">
        <v>1693</v>
      </c>
      <c r="X8" s="250" t="s">
        <v>1707</v>
      </c>
      <c r="Y8" s="245" t="s">
        <v>1692</v>
      </c>
      <c r="Z8" s="245" t="s">
        <v>1722</v>
      </c>
      <c r="AA8" s="149" t="s">
        <v>1694</v>
      </c>
    </row>
    <row r="9" spans="1:27" ht="64.5" customHeight="1">
      <c r="A9" s="308"/>
      <c r="B9" s="308"/>
      <c r="C9" s="308"/>
      <c r="D9" s="33" t="s">
        <v>1107</v>
      </c>
      <c r="E9" s="33" t="s">
        <v>1108</v>
      </c>
      <c r="F9" s="308"/>
      <c r="G9" s="307"/>
      <c r="H9" s="307"/>
      <c r="I9" s="188" t="s">
        <v>698</v>
      </c>
      <c r="J9" s="307"/>
      <c r="K9" s="307"/>
      <c r="L9" s="188" t="s">
        <v>700</v>
      </c>
      <c r="M9" s="290"/>
      <c r="N9" s="171">
        <v>2012</v>
      </c>
      <c r="O9" s="172">
        <v>2013</v>
      </c>
      <c r="P9" s="171">
        <v>2014</v>
      </c>
      <c r="Q9" s="171">
        <v>2015</v>
      </c>
      <c r="R9" s="171">
        <v>2016</v>
      </c>
      <c r="S9" s="188" t="s">
        <v>704</v>
      </c>
      <c r="T9" s="307"/>
      <c r="U9" s="307"/>
      <c r="V9" s="189" t="s">
        <v>1021</v>
      </c>
      <c r="W9" s="306"/>
      <c r="X9" s="306"/>
      <c r="Y9" s="246"/>
      <c r="Z9" s="246"/>
      <c r="AA9" s="190" t="s">
        <v>1692</v>
      </c>
    </row>
    <row r="10" spans="1:27" s="57" customFormat="1" ht="180" customHeight="1">
      <c r="A10" s="133" t="s">
        <v>1239</v>
      </c>
      <c r="B10" s="133" t="s">
        <v>1566</v>
      </c>
      <c r="C10" s="133" t="s">
        <v>1683</v>
      </c>
      <c r="D10" s="63">
        <v>40909</v>
      </c>
      <c r="E10" s="63">
        <v>42705</v>
      </c>
      <c r="F10" s="59" t="s">
        <v>779</v>
      </c>
      <c r="G10" s="128" t="s">
        <v>1177</v>
      </c>
      <c r="H10" s="133" t="s">
        <v>69</v>
      </c>
      <c r="I10" s="135" t="s">
        <v>740</v>
      </c>
      <c r="J10" s="108" t="s">
        <v>278</v>
      </c>
      <c r="K10" s="133" t="s">
        <v>70</v>
      </c>
      <c r="L10" s="133" t="s">
        <v>460</v>
      </c>
      <c r="M10" s="53">
        <v>1</v>
      </c>
      <c r="N10" s="53">
        <v>0.2</v>
      </c>
      <c r="O10" s="53">
        <v>0.2</v>
      </c>
      <c r="P10" s="53">
        <v>0.2</v>
      </c>
      <c r="Q10" s="53">
        <v>0.2</v>
      </c>
      <c r="R10" s="53">
        <v>0.2</v>
      </c>
      <c r="S10" s="133" t="s">
        <v>771</v>
      </c>
      <c r="T10" s="34"/>
      <c r="U10" s="127" t="s">
        <v>959</v>
      </c>
      <c r="V10" s="179"/>
      <c r="W10" s="156">
        <v>0</v>
      </c>
      <c r="X10" s="191" t="s">
        <v>1815</v>
      </c>
      <c r="Y10" s="116"/>
      <c r="Z10" s="157"/>
      <c r="AA10" s="157"/>
    </row>
    <row r="11" spans="1:27" s="57" customFormat="1" ht="148.5" customHeight="1">
      <c r="A11" s="34"/>
      <c r="B11" s="34"/>
      <c r="C11" s="34"/>
      <c r="D11" s="34"/>
      <c r="E11" s="34"/>
      <c r="F11" s="34"/>
      <c r="G11" s="128" t="s">
        <v>1177</v>
      </c>
      <c r="H11" s="133"/>
      <c r="I11" s="192"/>
      <c r="J11" s="133" t="s">
        <v>72</v>
      </c>
      <c r="K11" s="133" t="s">
        <v>71</v>
      </c>
      <c r="L11" s="133" t="s">
        <v>857</v>
      </c>
      <c r="M11" s="53">
        <v>1</v>
      </c>
      <c r="N11" s="113">
        <v>0.2</v>
      </c>
      <c r="O11" s="53">
        <v>0.2</v>
      </c>
      <c r="P11" s="53">
        <v>0.2</v>
      </c>
      <c r="Q11" s="53">
        <v>0.2</v>
      </c>
      <c r="R11" s="53">
        <v>0.2</v>
      </c>
      <c r="S11" s="133" t="s">
        <v>500</v>
      </c>
      <c r="T11" s="133" t="s">
        <v>742</v>
      </c>
      <c r="U11" s="234" t="s">
        <v>501</v>
      </c>
      <c r="V11" s="191" t="s">
        <v>1739</v>
      </c>
      <c r="W11" s="156">
        <v>0.2</v>
      </c>
      <c r="X11" s="157"/>
      <c r="Y11" s="116"/>
      <c r="Z11" s="157"/>
      <c r="AA11" s="157"/>
    </row>
    <row r="12" spans="1:27" s="57" customFormat="1" ht="318.75" customHeight="1">
      <c r="A12" s="34"/>
      <c r="B12" s="34"/>
      <c r="C12" s="34"/>
      <c r="D12" s="34"/>
      <c r="E12" s="34"/>
      <c r="F12" s="34"/>
      <c r="G12" s="128" t="s">
        <v>1177</v>
      </c>
      <c r="H12" s="34"/>
      <c r="I12" s="192"/>
      <c r="J12" s="108" t="s">
        <v>73</v>
      </c>
      <c r="K12" s="133" t="s">
        <v>74</v>
      </c>
      <c r="L12" s="133" t="s">
        <v>774</v>
      </c>
      <c r="M12" s="53">
        <v>1</v>
      </c>
      <c r="N12" s="113">
        <v>0.2</v>
      </c>
      <c r="O12" s="112">
        <v>0.2</v>
      </c>
      <c r="P12" s="53">
        <v>0.2</v>
      </c>
      <c r="Q12" s="53">
        <v>0.2</v>
      </c>
      <c r="R12" s="53">
        <v>0.2</v>
      </c>
      <c r="S12" s="133" t="s">
        <v>772</v>
      </c>
      <c r="T12" s="133" t="s">
        <v>773</v>
      </c>
      <c r="U12" s="269"/>
      <c r="V12" s="193" t="s">
        <v>1740</v>
      </c>
      <c r="W12" s="156">
        <v>1</v>
      </c>
      <c r="X12" s="157"/>
      <c r="Y12" s="193" t="s">
        <v>1741</v>
      </c>
      <c r="Z12" s="157"/>
      <c r="AA12" s="157"/>
    </row>
    <row r="13" spans="1:27" s="57" customFormat="1" ht="123" customHeight="1">
      <c r="A13" s="65"/>
      <c r="B13" s="65"/>
      <c r="C13" s="133"/>
      <c r="D13" s="63"/>
      <c r="E13" s="63"/>
      <c r="F13" s="59"/>
      <c r="G13" s="128"/>
      <c r="H13" s="34"/>
      <c r="I13" s="71"/>
      <c r="J13" s="108" t="s">
        <v>75</v>
      </c>
      <c r="K13" s="133" t="s">
        <v>76</v>
      </c>
      <c r="L13" s="133" t="s">
        <v>775</v>
      </c>
      <c r="M13" s="53">
        <v>0.1</v>
      </c>
      <c r="N13" s="113">
        <v>1</v>
      </c>
      <c r="O13" s="34"/>
      <c r="P13" s="34"/>
      <c r="Q13" s="34"/>
      <c r="R13" s="34"/>
      <c r="S13" s="133" t="s">
        <v>779</v>
      </c>
      <c r="T13" s="127"/>
      <c r="U13" s="129"/>
      <c r="V13" s="193" t="s">
        <v>1742</v>
      </c>
      <c r="W13" s="156">
        <v>1</v>
      </c>
      <c r="X13" s="157"/>
      <c r="Y13" s="157"/>
      <c r="Z13" s="157"/>
      <c r="AA13" s="157"/>
    </row>
    <row r="14" spans="1:27" s="57" customFormat="1" ht="334.5" customHeight="1">
      <c r="A14" s="65"/>
      <c r="B14" s="65"/>
      <c r="C14" s="133"/>
      <c r="D14" s="63"/>
      <c r="E14" s="63"/>
      <c r="F14" s="59"/>
      <c r="G14" s="128"/>
      <c r="H14" s="34"/>
      <c r="I14" s="71"/>
      <c r="J14" s="52"/>
      <c r="K14" s="133" t="s">
        <v>77</v>
      </c>
      <c r="L14" s="133" t="s">
        <v>776</v>
      </c>
      <c r="M14" s="53">
        <v>0.2</v>
      </c>
      <c r="N14" s="113">
        <v>0.2</v>
      </c>
      <c r="O14" s="112">
        <v>0.2</v>
      </c>
      <c r="P14" s="53">
        <v>0.2</v>
      </c>
      <c r="Q14" s="53">
        <v>0.2</v>
      </c>
      <c r="R14" s="53">
        <v>0.2</v>
      </c>
      <c r="S14" s="133" t="s">
        <v>779</v>
      </c>
      <c r="T14" s="133"/>
      <c r="U14" s="133"/>
      <c r="V14" s="193" t="s">
        <v>1743</v>
      </c>
      <c r="W14" s="156">
        <v>1</v>
      </c>
      <c r="X14" s="157"/>
      <c r="Y14" s="13" t="s">
        <v>1744</v>
      </c>
      <c r="Z14" s="157"/>
      <c r="AA14" s="157"/>
    </row>
    <row r="15" spans="1:27" s="57" customFormat="1" ht="160.5" customHeight="1">
      <c r="A15" s="264" t="s">
        <v>1239</v>
      </c>
      <c r="B15" s="234" t="s">
        <v>1566</v>
      </c>
      <c r="C15" s="133" t="s">
        <v>1567</v>
      </c>
      <c r="D15" s="63">
        <v>40909</v>
      </c>
      <c r="E15" s="63">
        <v>44896</v>
      </c>
      <c r="F15" s="59" t="s">
        <v>779</v>
      </c>
      <c r="G15" s="128" t="s">
        <v>1177</v>
      </c>
      <c r="H15" s="34"/>
      <c r="I15" s="133"/>
      <c r="J15" s="52"/>
      <c r="K15" s="133" t="s">
        <v>78</v>
      </c>
      <c r="L15" s="133" t="s">
        <v>383</v>
      </c>
      <c r="M15" s="53">
        <v>0.2</v>
      </c>
      <c r="N15" s="113">
        <v>0.2</v>
      </c>
      <c r="O15" s="112">
        <v>0.2</v>
      </c>
      <c r="P15" s="53">
        <v>0.2</v>
      </c>
      <c r="Q15" s="53">
        <v>0.2</v>
      </c>
      <c r="R15" s="53">
        <v>0.2</v>
      </c>
      <c r="S15" s="133" t="s">
        <v>779</v>
      </c>
      <c r="T15" s="136"/>
      <c r="U15" s="136"/>
      <c r="V15" s="193" t="s">
        <v>1745</v>
      </c>
      <c r="W15" s="194">
        <v>1</v>
      </c>
      <c r="X15" s="191"/>
      <c r="Y15" s="193" t="s">
        <v>1745</v>
      </c>
      <c r="Z15" s="157"/>
      <c r="AA15" s="157"/>
    </row>
    <row r="16" spans="1:27" s="57" customFormat="1" ht="160.5" customHeight="1">
      <c r="A16" s="267"/>
      <c r="B16" s="269"/>
      <c r="C16" s="133"/>
      <c r="D16" s="63"/>
      <c r="E16" s="63"/>
      <c r="F16" s="59"/>
      <c r="G16" s="128"/>
      <c r="H16" s="34"/>
      <c r="I16" s="133"/>
      <c r="J16" s="52"/>
      <c r="K16" s="133" t="s">
        <v>79</v>
      </c>
      <c r="L16" s="133" t="s">
        <v>399</v>
      </c>
      <c r="M16" s="53">
        <v>0.3</v>
      </c>
      <c r="N16" s="113">
        <v>0.2</v>
      </c>
      <c r="O16" s="112">
        <v>0.2</v>
      </c>
      <c r="P16" s="53">
        <v>0.2</v>
      </c>
      <c r="Q16" s="53">
        <v>0.2</v>
      </c>
      <c r="R16" s="53">
        <v>0.2</v>
      </c>
      <c r="S16" s="133" t="s">
        <v>779</v>
      </c>
      <c r="T16" s="136"/>
      <c r="U16" s="136"/>
      <c r="V16" s="193" t="s">
        <v>1746</v>
      </c>
      <c r="W16" s="156">
        <v>1</v>
      </c>
      <c r="X16" s="157"/>
      <c r="Y16" s="193" t="s">
        <v>1747</v>
      </c>
      <c r="Z16" s="157"/>
      <c r="AA16" s="157"/>
    </row>
    <row r="17" spans="1:27" s="57" customFormat="1" ht="183.75" hidden="1" customHeight="1">
      <c r="A17" s="269"/>
      <c r="B17" s="269"/>
      <c r="C17" s="133" t="s">
        <v>1571</v>
      </c>
      <c r="D17" s="63">
        <v>41275</v>
      </c>
      <c r="E17" s="63">
        <v>44896</v>
      </c>
      <c r="F17" s="59" t="s">
        <v>779</v>
      </c>
      <c r="G17" s="128" t="s">
        <v>1177</v>
      </c>
      <c r="H17" s="34"/>
      <c r="I17" s="133"/>
      <c r="J17" s="52"/>
      <c r="K17" s="133" t="s">
        <v>1568</v>
      </c>
      <c r="L17" s="133" t="s">
        <v>1569</v>
      </c>
      <c r="M17" s="53">
        <v>0.1</v>
      </c>
      <c r="N17" s="53"/>
      <c r="O17" s="53">
        <v>0.25</v>
      </c>
      <c r="P17" s="53">
        <v>0.25</v>
      </c>
      <c r="Q17" s="53">
        <v>0.25</v>
      </c>
      <c r="R17" s="53">
        <v>0.25</v>
      </c>
      <c r="S17" s="133" t="s">
        <v>779</v>
      </c>
      <c r="T17" s="136"/>
      <c r="U17" s="133" t="s">
        <v>1676</v>
      </c>
      <c r="V17" s="191"/>
      <c r="W17" s="156"/>
      <c r="X17" s="157"/>
      <c r="Y17" s="157"/>
      <c r="Z17" s="157"/>
      <c r="AA17" s="157"/>
    </row>
    <row r="18" spans="1:27" s="57" customFormat="1" ht="148.5" customHeight="1">
      <c r="A18" s="269"/>
      <c r="B18" s="269"/>
      <c r="C18" s="133" t="s">
        <v>1572</v>
      </c>
      <c r="D18" s="63">
        <v>40909</v>
      </c>
      <c r="E18" s="63">
        <v>44896</v>
      </c>
      <c r="F18" s="59" t="s">
        <v>779</v>
      </c>
      <c r="G18" s="128"/>
      <c r="H18" s="34"/>
      <c r="I18" s="133"/>
      <c r="J18" s="52"/>
      <c r="K18" s="133" t="s">
        <v>1570</v>
      </c>
      <c r="L18" s="133" t="s">
        <v>1303</v>
      </c>
      <c r="M18" s="53">
        <v>0.1</v>
      </c>
      <c r="N18" s="53">
        <v>0.2</v>
      </c>
      <c r="O18" s="53">
        <v>0.2</v>
      </c>
      <c r="P18" s="53">
        <v>0.2</v>
      </c>
      <c r="Q18" s="53">
        <v>0.2</v>
      </c>
      <c r="R18" s="53">
        <v>0.2</v>
      </c>
      <c r="S18" s="130" t="s">
        <v>1304</v>
      </c>
      <c r="T18" s="133"/>
      <c r="U18" s="133" t="s">
        <v>1676</v>
      </c>
      <c r="V18" s="34"/>
      <c r="W18" s="53">
        <v>1</v>
      </c>
      <c r="X18" s="34"/>
      <c r="Y18" s="34"/>
      <c r="Z18" s="157"/>
      <c r="AA18" s="157"/>
    </row>
    <row r="19" spans="1:27" s="57" customFormat="1" ht="185.25" customHeight="1">
      <c r="A19" s="270"/>
      <c r="B19" s="270"/>
      <c r="C19" s="34"/>
      <c r="D19" s="34"/>
      <c r="E19" s="34"/>
      <c r="F19" s="195"/>
      <c r="G19" s="128" t="s">
        <v>1177</v>
      </c>
      <c r="H19" s="34"/>
      <c r="I19" s="133"/>
      <c r="J19" s="108" t="s">
        <v>80</v>
      </c>
      <c r="K19" s="133" t="s">
        <v>81</v>
      </c>
      <c r="L19" s="133" t="s">
        <v>459</v>
      </c>
      <c r="M19" s="53">
        <v>1</v>
      </c>
      <c r="N19" s="113">
        <v>0.5</v>
      </c>
      <c r="O19" s="112">
        <v>0.5</v>
      </c>
      <c r="P19" s="34"/>
      <c r="Q19" s="34"/>
      <c r="R19" s="34"/>
      <c r="S19" s="133" t="s">
        <v>779</v>
      </c>
      <c r="T19" s="133" t="s">
        <v>786</v>
      </c>
      <c r="U19" s="133" t="s">
        <v>730</v>
      </c>
      <c r="V19" s="133" t="s">
        <v>1748</v>
      </c>
      <c r="W19" s="53">
        <v>1</v>
      </c>
      <c r="X19" s="133"/>
      <c r="Y19" s="133" t="s">
        <v>1748</v>
      </c>
      <c r="Z19" s="157"/>
      <c r="AA19" s="157"/>
    </row>
    <row r="20" spans="1:27" s="57" customFormat="1" ht="180.75" hidden="1" customHeight="1">
      <c r="A20" s="65"/>
      <c r="B20" s="65"/>
      <c r="C20" s="133" t="s">
        <v>1573</v>
      </c>
      <c r="D20" s="63">
        <v>40909</v>
      </c>
      <c r="E20" s="63">
        <v>41609</v>
      </c>
      <c r="F20" s="59" t="s">
        <v>779</v>
      </c>
      <c r="G20" s="128" t="s">
        <v>1177</v>
      </c>
      <c r="H20" s="133" t="s">
        <v>84</v>
      </c>
      <c r="I20" s="133" t="s">
        <v>777</v>
      </c>
      <c r="J20" s="108" t="s">
        <v>1415</v>
      </c>
      <c r="K20" s="133" t="s">
        <v>1413</v>
      </c>
      <c r="L20" s="133" t="s">
        <v>1290</v>
      </c>
      <c r="M20" s="53">
        <v>1</v>
      </c>
      <c r="N20" s="53"/>
      <c r="O20" s="53">
        <v>1</v>
      </c>
      <c r="P20" s="53"/>
      <c r="Q20" s="53"/>
      <c r="R20" s="53"/>
      <c r="S20" s="133"/>
      <c r="T20" s="133"/>
      <c r="U20" s="133" t="s">
        <v>1676</v>
      </c>
      <c r="V20" s="196"/>
      <c r="W20" s="156"/>
      <c r="X20" s="157"/>
      <c r="Y20" s="157"/>
      <c r="Z20" s="157"/>
      <c r="AA20" s="157"/>
    </row>
    <row r="21" spans="1:27" s="57" customFormat="1" ht="148.5" customHeight="1">
      <c r="A21" s="34"/>
      <c r="B21" s="34"/>
      <c r="C21" s="34"/>
      <c r="D21" s="197"/>
      <c r="E21" s="197"/>
      <c r="F21" s="34"/>
      <c r="G21" s="128" t="s">
        <v>1177</v>
      </c>
      <c r="H21" s="133"/>
      <c r="I21" s="133"/>
      <c r="J21" s="108" t="s">
        <v>85</v>
      </c>
      <c r="K21" s="133" t="s">
        <v>86</v>
      </c>
      <c r="L21" s="133" t="s">
        <v>778</v>
      </c>
      <c r="M21" s="53">
        <v>0.1</v>
      </c>
      <c r="N21" s="113">
        <v>1</v>
      </c>
      <c r="O21" s="34"/>
      <c r="P21" s="34"/>
      <c r="Q21" s="34"/>
      <c r="R21" s="34"/>
      <c r="S21" s="133" t="s">
        <v>779</v>
      </c>
      <c r="T21" s="133" t="s">
        <v>780</v>
      </c>
      <c r="U21" s="234" t="s">
        <v>785</v>
      </c>
      <c r="V21" s="198" t="s">
        <v>1750</v>
      </c>
      <c r="W21" s="53">
        <v>1</v>
      </c>
      <c r="X21" s="34"/>
      <c r="Y21" s="34"/>
      <c r="Z21" s="157"/>
      <c r="AA21" s="157"/>
    </row>
    <row r="22" spans="1:27" s="57" customFormat="1" ht="148.5" customHeight="1">
      <c r="A22" s="34"/>
      <c r="B22" s="34"/>
      <c r="C22" s="34"/>
      <c r="D22" s="34"/>
      <c r="E22" s="34"/>
      <c r="F22" s="34"/>
      <c r="G22" s="128" t="s">
        <v>1177</v>
      </c>
      <c r="H22" s="34"/>
      <c r="I22" s="133"/>
      <c r="J22" s="52"/>
      <c r="K22" s="133" t="s">
        <v>87</v>
      </c>
      <c r="L22" s="133" t="s">
        <v>457</v>
      </c>
      <c r="M22" s="53">
        <v>0.1</v>
      </c>
      <c r="N22" s="113">
        <v>0.2</v>
      </c>
      <c r="O22" s="112">
        <v>0.2</v>
      </c>
      <c r="P22" s="53">
        <v>0.2</v>
      </c>
      <c r="Q22" s="53">
        <v>0.2</v>
      </c>
      <c r="R22" s="53">
        <v>0.2</v>
      </c>
      <c r="S22" s="133" t="s">
        <v>779</v>
      </c>
      <c r="T22" s="133" t="s">
        <v>781</v>
      </c>
      <c r="U22" s="269"/>
      <c r="V22" s="89" t="s">
        <v>1751</v>
      </c>
      <c r="W22" s="53">
        <v>1</v>
      </c>
      <c r="X22" s="133"/>
      <c r="Y22" s="133" t="s">
        <v>1751</v>
      </c>
      <c r="Z22" s="157"/>
      <c r="AA22" s="157"/>
    </row>
    <row r="23" spans="1:27" s="57" customFormat="1" ht="148.5" customHeight="1">
      <c r="A23" s="34"/>
      <c r="B23" s="34"/>
      <c r="C23" s="34"/>
      <c r="D23" s="34"/>
      <c r="E23" s="34"/>
      <c r="F23" s="34"/>
      <c r="G23" s="128" t="s">
        <v>1177</v>
      </c>
      <c r="H23" s="34"/>
      <c r="I23" s="133"/>
      <c r="J23" s="52"/>
      <c r="K23" s="133" t="s">
        <v>283</v>
      </c>
      <c r="L23" s="133" t="s">
        <v>456</v>
      </c>
      <c r="M23" s="53">
        <v>0.6</v>
      </c>
      <c r="N23" s="113">
        <v>0.2</v>
      </c>
      <c r="O23" s="112">
        <v>0.2</v>
      </c>
      <c r="P23" s="53">
        <v>0.2</v>
      </c>
      <c r="Q23" s="53">
        <v>0.2</v>
      </c>
      <c r="R23" s="53">
        <v>0.2</v>
      </c>
      <c r="S23" s="234" t="s">
        <v>782</v>
      </c>
      <c r="T23" s="133" t="s">
        <v>783</v>
      </c>
      <c r="U23" s="269"/>
      <c r="V23" s="198" t="s">
        <v>1752</v>
      </c>
      <c r="W23" s="156">
        <v>1</v>
      </c>
      <c r="X23" s="157"/>
      <c r="Y23" s="133" t="s">
        <v>1753</v>
      </c>
      <c r="Z23" s="157"/>
      <c r="AA23" s="157"/>
    </row>
    <row r="24" spans="1:27" s="57" customFormat="1" ht="148.5" customHeight="1">
      <c r="A24" s="34"/>
      <c r="B24" s="34"/>
      <c r="C24" s="34"/>
      <c r="D24" s="34"/>
      <c r="E24" s="34"/>
      <c r="F24" s="34"/>
      <c r="G24" s="128" t="s">
        <v>1177</v>
      </c>
      <c r="H24" s="34"/>
      <c r="I24" s="133"/>
      <c r="J24" s="52"/>
      <c r="K24" s="52" t="s">
        <v>284</v>
      </c>
      <c r="L24" s="133" t="s">
        <v>455</v>
      </c>
      <c r="M24" s="53">
        <v>0.2</v>
      </c>
      <c r="N24" s="113">
        <v>0.2</v>
      </c>
      <c r="O24" s="112">
        <v>0.2</v>
      </c>
      <c r="P24" s="53">
        <v>0.2</v>
      </c>
      <c r="Q24" s="53">
        <v>0.2</v>
      </c>
      <c r="R24" s="53">
        <v>0.2</v>
      </c>
      <c r="S24" s="299"/>
      <c r="T24" s="133" t="s">
        <v>784</v>
      </c>
      <c r="U24" s="270"/>
      <c r="V24" s="198" t="s">
        <v>1754</v>
      </c>
      <c r="W24" s="156">
        <v>1</v>
      </c>
      <c r="X24" s="157"/>
      <c r="Y24" s="133" t="s">
        <v>1755</v>
      </c>
      <c r="Z24" s="157"/>
      <c r="AA24" s="157"/>
    </row>
    <row r="25" spans="1:27" s="57" customFormat="1" ht="148.5" hidden="1" customHeight="1">
      <c r="A25" s="264" t="s">
        <v>1239</v>
      </c>
      <c r="B25" s="234" t="s">
        <v>1574</v>
      </c>
      <c r="C25" s="133" t="s">
        <v>1575</v>
      </c>
      <c r="D25" s="63">
        <v>40909</v>
      </c>
      <c r="E25" s="63">
        <v>44896</v>
      </c>
      <c r="F25" s="59" t="s">
        <v>779</v>
      </c>
      <c r="G25" s="128" t="s">
        <v>1177</v>
      </c>
      <c r="H25" s="133" t="s">
        <v>1417</v>
      </c>
      <c r="I25" s="34"/>
      <c r="J25" s="108" t="s">
        <v>1418</v>
      </c>
      <c r="K25" s="133" t="s">
        <v>1419</v>
      </c>
      <c r="L25" s="133" t="s">
        <v>1306</v>
      </c>
      <c r="M25" s="53">
        <v>1</v>
      </c>
      <c r="N25" s="34"/>
      <c r="O25" s="53">
        <v>1</v>
      </c>
      <c r="P25" s="34"/>
      <c r="Q25" s="34"/>
      <c r="R25" s="34"/>
      <c r="S25" s="133" t="s">
        <v>779</v>
      </c>
      <c r="T25" s="133" t="s">
        <v>1310</v>
      </c>
      <c r="U25" s="133" t="s">
        <v>1676</v>
      </c>
      <c r="V25" s="34"/>
      <c r="W25" s="156"/>
      <c r="X25" s="157"/>
      <c r="Y25" s="157"/>
      <c r="Z25" s="157"/>
      <c r="AA25" s="157"/>
    </row>
    <row r="26" spans="1:27" s="57" customFormat="1" ht="216" customHeight="1">
      <c r="A26" s="267"/>
      <c r="B26" s="269"/>
      <c r="C26" s="133" t="s">
        <v>1576</v>
      </c>
      <c r="D26" s="63">
        <v>40909</v>
      </c>
      <c r="E26" s="63">
        <v>44896</v>
      </c>
      <c r="F26" s="59" t="s">
        <v>779</v>
      </c>
      <c r="G26" s="128" t="s">
        <v>1177</v>
      </c>
      <c r="H26" s="34"/>
      <c r="I26" s="34"/>
      <c r="J26" s="108" t="s">
        <v>1420</v>
      </c>
      <c r="K26" s="133" t="s">
        <v>1422</v>
      </c>
      <c r="L26" s="133" t="s">
        <v>720</v>
      </c>
      <c r="M26" s="53">
        <v>1</v>
      </c>
      <c r="N26" s="53">
        <v>1</v>
      </c>
      <c r="O26" s="34"/>
      <c r="P26" s="34"/>
      <c r="Q26" s="34"/>
      <c r="R26" s="34"/>
      <c r="S26" s="133" t="s">
        <v>779</v>
      </c>
      <c r="T26" s="133" t="s">
        <v>1310</v>
      </c>
      <c r="U26" s="133" t="s">
        <v>1676</v>
      </c>
      <c r="V26" s="34"/>
      <c r="W26" s="53">
        <v>1</v>
      </c>
      <c r="X26" s="52" t="s">
        <v>1814</v>
      </c>
      <c r="Y26" s="34"/>
      <c r="Z26" s="157"/>
      <c r="AA26" s="157"/>
    </row>
    <row r="27" spans="1:27" s="57" customFormat="1" ht="148.5" hidden="1" customHeight="1">
      <c r="A27" s="268"/>
      <c r="B27" s="270"/>
      <c r="C27" s="133" t="s">
        <v>1577</v>
      </c>
      <c r="D27" s="63">
        <v>40909</v>
      </c>
      <c r="E27" s="63">
        <v>44896</v>
      </c>
      <c r="F27" s="59" t="s">
        <v>779</v>
      </c>
      <c r="G27" s="128" t="s">
        <v>1177</v>
      </c>
      <c r="H27" s="34"/>
      <c r="I27" s="34"/>
      <c r="J27" s="108" t="s">
        <v>1421</v>
      </c>
      <c r="K27" s="133" t="s">
        <v>1423</v>
      </c>
      <c r="L27" s="133" t="s">
        <v>1309</v>
      </c>
      <c r="M27" s="53">
        <v>0.4</v>
      </c>
      <c r="N27" s="34"/>
      <c r="O27" s="34"/>
      <c r="P27" s="53">
        <v>1</v>
      </c>
      <c r="Q27" s="34"/>
      <c r="R27" s="34"/>
      <c r="S27" s="133" t="s">
        <v>779</v>
      </c>
      <c r="T27" s="133" t="s">
        <v>1310</v>
      </c>
      <c r="U27" s="133" t="s">
        <v>1676</v>
      </c>
      <c r="V27" s="34"/>
      <c r="W27" s="53"/>
      <c r="X27" s="34"/>
      <c r="Y27" s="34"/>
      <c r="Z27" s="157"/>
      <c r="AA27" s="157"/>
    </row>
    <row r="28" spans="1:27" s="57" customFormat="1" ht="167.25" hidden="1" customHeight="1">
      <c r="A28" s="131"/>
      <c r="B28" s="129"/>
      <c r="C28" s="133"/>
      <c r="D28" s="63"/>
      <c r="E28" s="63"/>
      <c r="F28" s="59"/>
      <c r="G28" s="128"/>
      <c r="H28" s="34"/>
      <c r="I28" s="34"/>
      <c r="J28" s="108"/>
      <c r="K28" s="133" t="s">
        <v>1438</v>
      </c>
      <c r="L28" s="133" t="s">
        <v>1284</v>
      </c>
      <c r="M28" s="53">
        <v>0.6</v>
      </c>
      <c r="N28" s="34"/>
      <c r="O28" s="34"/>
      <c r="P28" s="53">
        <v>0.33</v>
      </c>
      <c r="Q28" s="53">
        <v>0.33</v>
      </c>
      <c r="R28" s="53">
        <v>0.34</v>
      </c>
      <c r="S28" s="133" t="s">
        <v>779</v>
      </c>
      <c r="T28" s="133" t="s">
        <v>1310</v>
      </c>
      <c r="U28" s="133" t="s">
        <v>1676</v>
      </c>
      <c r="V28" s="34"/>
      <c r="W28" s="53"/>
      <c r="X28" s="34"/>
      <c r="Y28" s="34"/>
      <c r="Z28" s="157"/>
      <c r="AA28" s="157"/>
    </row>
    <row r="29" spans="1:27" s="57" customFormat="1" ht="148.5" hidden="1" customHeight="1">
      <c r="A29" s="264" t="s">
        <v>1239</v>
      </c>
      <c r="B29" s="234" t="s">
        <v>1578</v>
      </c>
      <c r="C29" s="133" t="s">
        <v>1579</v>
      </c>
      <c r="D29" s="63">
        <v>40909</v>
      </c>
      <c r="E29" s="63">
        <v>44896</v>
      </c>
      <c r="F29" s="59" t="s">
        <v>779</v>
      </c>
      <c r="G29" s="128" t="s">
        <v>1177</v>
      </c>
      <c r="H29" s="133" t="s">
        <v>1424</v>
      </c>
      <c r="I29" s="133"/>
      <c r="J29" s="108" t="s">
        <v>1425</v>
      </c>
      <c r="K29" s="133" t="s">
        <v>1437</v>
      </c>
      <c r="L29" s="133" t="s">
        <v>1312</v>
      </c>
      <c r="M29" s="53">
        <v>1</v>
      </c>
      <c r="N29" s="53"/>
      <c r="O29" s="53"/>
      <c r="P29" s="53">
        <v>1</v>
      </c>
      <c r="Q29" s="34"/>
      <c r="R29" s="34"/>
      <c r="S29" s="133" t="s">
        <v>779</v>
      </c>
      <c r="T29" s="133" t="s">
        <v>1310</v>
      </c>
      <c r="U29" s="133" t="s">
        <v>1676</v>
      </c>
      <c r="V29" s="199"/>
      <c r="W29" s="53"/>
      <c r="X29" s="34"/>
      <c r="Y29" s="34"/>
      <c r="Z29" s="34"/>
      <c r="AA29" s="34"/>
    </row>
    <row r="30" spans="1:27" s="57" customFormat="1" ht="191.25" customHeight="1">
      <c r="A30" s="267"/>
      <c r="B30" s="269"/>
      <c r="C30" s="133" t="s">
        <v>1582</v>
      </c>
      <c r="D30" s="63">
        <v>40909</v>
      </c>
      <c r="E30" s="63">
        <v>44896</v>
      </c>
      <c r="F30" s="59" t="s">
        <v>779</v>
      </c>
      <c r="G30" s="128" t="s">
        <v>1177</v>
      </c>
      <c r="H30" s="34"/>
      <c r="I30" s="133"/>
      <c r="J30" s="108" t="s">
        <v>82</v>
      </c>
      <c r="K30" s="133" t="s">
        <v>83</v>
      </c>
      <c r="L30" s="133" t="s">
        <v>458</v>
      </c>
      <c r="M30" s="53">
        <v>1</v>
      </c>
      <c r="N30" s="113">
        <v>0.2</v>
      </c>
      <c r="O30" s="112">
        <v>0.2</v>
      </c>
      <c r="P30" s="53">
        <v>0.2</v>
      </c>
      <c r="Q30" s="53">
        <v>0.2</v>
      </c>
      <c r="R30" s="53">
        <v>0.2</v>
      </c>
      <c r="S30" s="133" t="s">
        <v>779</v>
      </c>
      <c r="T30" s="133" t="s">
        <v>1318</v>
      </c>
      <c r="U30" s="133" t="s">
        <v>731</v>
      </c>
      <c r="V30" s="198" t="s">
        <v>1749</v>
      </c>
      <c r="W30" s="156">
        <v>1</v>
      </c>
      <c r="X30" s="157"/>
      <c r="Y30" s="200" t="s">
        <v>1749</v>
      </c>
      <c r="Z30" s="34"/>
      <c r="AA30" s="34"/>
    </row>
    <row r="31" spans="1:27" s="57" customFormat="1" ht="162.75" hidden="1" customHeight="1">
      <c r="A31" s="268"/>
      <c r="B31" s="270"/>
      <c r="C31" s="133" t="s">
        <v>1580</v>
      </c>
      <c r="D31" s="63">
        <v>40909</v>
      </c>
      <c r="E31" s="63">
        <v>44896</v>
      </c>
      <c r="F31" s="59" t="s">
        <v>779</v>
      </c>
      <c r="G31" s="128" t="s">
        <v>1177</v>
      </c>
      <c r="H31" s="34"/>
      <c r="I31" s="130"/>
      <c r="J31" s="108" t="s">
        <v>1426</v>
      </c>
      <c r="K31" s="133" t="s">
        <v>1581</v>
      </c>
      <c r="L31" s="133" t="s">
        <v>1314</v>
      </c>
      <c r="M31" s="53">
        <v>1</v>
      </c>
      <c r="N31" s="53"/>
      <c r="O31" s="53">
        <v>0.25</v>
      </c>
      <c r="P31" s="53">
        <v>0.25</v>
      </c>
      <c r="Q31" s="53">
        <v>0.25</v>
      </c>
      <c r="R31" s="53">
        <v>0.25</v>
      </c>
      <c r="S31" s="133" t="s">
        <v>779</v>
      </c>
      <c r="T31" s="133" t="s">
        <v>1318</v>
      </c>
      <c r="U31" s="133" t="s">
        <v>1676</v>
      </c>
      <c r="V31" s="34"/>
      <c r="W31" s="53"/>
      <c r="X31" s="34"/>
      <c r="Y31" s="34"/>
      <c r="Z31" s="34"/>
      <c r="AA31" s="34"/>
    </row>
    <row r="32" spans="1:27" s="57" customFormat="1" ht="173.25" hidden="1" customHeight="1">
      <c r="A32" s="264" t="s">
        <v>1239</v>
      </c>
      <c r="B32" s="234" t="s">
        <v>1583</v>
      </c>
      <c r="C32" s="133" t="s">
        <v>1584</v>
      </c>
      <c r="D32" s="63">
        <v>40909</v>
      </c>
      <c r="E32" s="63">
        <v>44896</v>
      </c>
      <c r="F32" s="133" t="s">
        <v>1198</v>
      </c>
      <c r="G32" s="128" t="s">
        <v>1177</v>
      </c>
      <c r="H32" s="133" t="s">
        <v>1427</v>
      </c>
      <c r="I32" s="34"/>
      <c r="J32" s="108" t="s">
        <v>1428</v>
      </c>
      <c r="K32" s="133" t="s">
        <v>1429</v>
      </c>
      <c r="L32" s="133" t="s">
        <v>1316</v>
      </c>
      <c r="M32" s="53">
        <v>0.4</v>
      </c>
      <c r="N32" s="34"/>
      <c r="O32" s="34"/>
      <c r="P32" s="53">
        <v>1</v>
      </c>
      <c r="Q32" s="34"/>
      <c r="R32" s="34"/>
      <c r="S32" s="133" t="s">
        <v>1198</v>
      </c>
      <c r="T32" s="133" t="s">
        <v>1317</v>
      </c>
      <c r="U32" s="133" t="s">
        <v>1676</v>
      </c>
      <c r="V32" s="34"/>
      <c r="W32" s="53"/>
      <c r="X32" s="34"/>
      <c r="Y32" s="34"/>
      <c r="Z32" s="34"/>
      <c r="AA32" s="34"/>
    </row>
    <row r="33" spans="1:27" s="57" customFormat="1" ht="173.25" hidden="1" customHeight="1">
      <c r="A33" s="267"/>
      <c r="B33" s="269"/>
      <c r="C33" s="133"/>
      <c r="D33" s="63"/>
      <c r="E33" s="63"/>
      <c r="F33" s="133"/>
      <c r="G33" s="128"/>
      <c r="H33" s="133"/>
      <c r="I33" s="34"/>
      <c r="J33" s="133"/>
      <c r="K33" s="133" t="s">
        <v>1430</v>
      </c>
      <c r="L33" s="133" t="s">
        <v>1284</v>
      </c>
      <c r="M33" s="53">
        <v>0.6</v>
      </c>
      <c r="N33" s="34"/>
      <c r="O33" s="34"/>
      <c r="P33" s="34"/>
      <c r="Q33" s="53">
        <v>0.5</v>
      </c>
      <c r="R33" s="53">
        <v>0.5</v>
      </c>
      <c r="S33" s="133" t="s">
        <v>1198</v>
      </c>
      <c r="T33" s="133" t="s">
        <v>1317</v>
      </c>
      <c r="U33" s="133" t="s">
        <v>1676</v>
      </c>
      <c r="V33" s="34"/>
      <c r="W33" s="53"/>
      <c r="X33" s="34"/>
      <c r="Y33" s="34"/>
      <c r="Z33" s="34"/>
      <c r="AA33" s="34"/>
    </row>
    <row r="34" spans="1:27" s="57" customFormat="1" ht="148.5" hidden="1" customHeight="1">
      <c r="A34" s="267"/>
      <c r="B34" s="269"/>
      <c r="C34" s="133" t="s">
        <v>1585</v>
      </c>
      <c r="D34" s="63">
        <v>40909</v>
      </c>
      <c r="E34" s="63">
        <v>44896</v>
      </c>
      <c r="F34" s="133" t="s">
        <v>1198</v>
      </c>
      <c r="G34" s="128" t="s">
        <v>1177</v>
      </c>
      <c r="H34" s="34"/>
      <c r="I34" s="34"/>
      <c r="J34" s="133"/>
      <c r="K34" s="133"/>
      <c r="L34" s="133"/>
      <c r="M34" s="53"/>
      <c r="N34" s="34"/>
      <c r="O34" s="34"/>
      <c r="P34" s="34"/>
      <c r="Q34" s="53"/>
      <c r="R34" s="53"/>
      <c r="S34" s="133"/>
      <c r="T34" s="133"/>
      <c r="U34" s="34"/>
      <c r="V34" s="34"/>
      <c r="W34" s="53"/>
      <c r="X34" s="34"/>
      <c r="Y34" s="34"/>
      <c r="Z34" s="34"/>
      <c r="AA34" s="34"/>
    </row>
    <row r="35" spans="1:27" s="57" customFormat="1" ht="148.5" hidden="1" customHeight="1">
      <c r="A35" s="268"/>
      <c r="B35" s="270"/>
      <c r="C35" s="133" t="s">
        <v>1196</v>
      </c>
      <c r="D35" s="63">
        <v>40909</v>
      </c>
      <c r="E35" s="63">
        <v>44896</v>
      </c>
      <c r="F35" s="133" t="s">
        <v>1198</v>
      </c>
      <c r="G35" s="128" t="s">
        <v>1177</v>
      </c>
      <c r="H35" s="34"/>
      <c r="I35" s="34"/>
      <c r="J35" s="34"/>
      <c r="K35" s="34"/>
      <c r="L35" s="34"/>
      <c r="M35" s="34"/>
      <c r="N35" s="34"/>
      <c r="O35" s="34"/>
      <c r="P35" s="34"/>
      <c r="Q35" s="34"/>
      <c r="R35" s="34"/>
      <c r="S35" s="34"/>
      <c r="T35" s="34"/>
      <c r="U35" s="34"/>
      <c r="V35" s="34"/>
      <c r="W35" s="53"/>
      <c r="X35" s="34"/>
      <c r="Y35" s="34"/>
      <c r="Z35" s="34"/>
      <c r="AA35" s="34"/>
    </row>
  </sheetData>
  <protectedRanges>
    <protectedRange sqref="Y14" name="Rango1_4_8"/>
    <protectedRange sqref="Y15" name="Rango1_4_1_1"/>
    <protectedRange sqref="Y16" name="Rango1_4_2_1"/>
    <protectedRange sqref="Y19" name="Rango1_4_3_1"/>
    <protectedRange sqref="Y30" name="Rango1_4_4_1"/>
    <protectedRange sqref="Y22" name="Rango1_4_5_1"/>
    <protectedRange sqref="Y23" name="Rango1_4_6_1"/>
    <protectedRange sqref="Y24" name="Rango1_4_7_1"/>
  </protectedRanges>
  <mergeCells count="35">
    <mergeCell ref="B32:B35"/>
    <mergeCell ref="A25:A27"/>
    <mergeCell ref="A32:A35"/>
    <mergeCell ref="B29:B31"/>
    <mergeCell ref="A5:U5"/>
    <mergeCell ref="B15:B19"/>
    <mergeCell ref="A15:A19"/>
    <mergeCell ref="H6:T6"/>
    <mergeCell ref="H8:H9"/>
    <mergeCell ref="J8:J9"/>
    <mergeCell ref="K8:K9"/>
    <mergeCell ref="M8:M9"/>
    <mergeCell ref="G7:U7"/>
    <mergeCell ref="G8:G9"/>
    <mergeCell ref="V6:X6"/>
    <mergeCell ref="Y6:AA6"/>
    <mergeCell ref="V7:X7"/>
    <mergeCell ref="Y7:AA7"/>
    <mergeCell ref="A29:A31"/>
    <mergeCell ref="B25:B27"/>
    <mergeCell ref="A7:F7"/>
    <mergeCell ref="A8:A9"/>
    <mergeCell ref="U21:U24"/>
    <mergeCell ref="U11:U12"/>
    <mergeCell ref="B8:B9"/>
    <mergeCell ref="C8:C9"/>
    <mergeCell ref="D8:E8"/>
    <mergeCell ref="F8:F9"/>
    <mergeCell ref="S23:S24"/>
    <mergeCell ref="T8:T9"/>
    <mergeCell ref="Z8:Z9"/>
    <mergeCell ref="Y8:Y9"/>
    <mergeCell ref="X8:X9"/>
    <mergeCell ref="W8:W9"/>
    <mergeCell ref="U8:U9"/>
  </mergeCells>
  <phoneticPr fontId="7" type="noConversion"/>
  <printOptions horizontalCentered="1" verticalCentered="1"/>
  <pageMargins left="0.19685039370078741" right="0.19685039370078741" top="0.27559055118110237" bottom="0.23622047244094491" header="0.23622047244094491" footer="0.23622047244094491"/>
  <pageSetup scale="50" orientation="landscape" r:id="rId1"/>
</worksheet>
</file>

<file path=xl/worksheets/sheet5.xml><?xml version="1.0" encoding="utf-8"?>
<worksheet xmlns="http://schemas.openxmlformats.org/spreadsheetml/2006/main" xmlns:r="http://schemas.openxmlformats.org/officeDocument/2006/relationships">
  <dimension ref="A1:AA28"/>
  <sheetViews>
    <sheetView zoomScale="89" zoomScaleNormal="89" workbookViewId="0">
      <pane ySplit="9" topLeftCell="A29" activePane="bottomLeft" state="frozen"/>
      <selection pane="bottomLeft" activeCell="K14" sqref="K14"/>
    </sheetView>
  </sheetViews>
  <sheetFormatPr baseColWidth="10" defaultRowHeight="15"/>
  <cols>
    <col min="1" max="1" width="20.85546875" hidden="1" customWidth="1"/>
    <col min="2" max="2" width="21.28515625" hidden="1" customWidth="1"/>
    <col min="3" max="3" width="11.140625" hidden="1" customWidth="1"/>
    <col min="4" max="4" width="8.42578125" hidden="1" customWidth="1"/>
    <col min="5" max="5" width="9" hidden="1" customWidth="1"/>
    <col min="6" max="6" width="14" hidden="1" customWidth="1"/>
    <col min="7" max="7" width="18.28515625" customWidth="1"/>
    <col min="8" max="8" width="19.140625" customWidth="1"/>
    <col min="9" max="9" width="25" customWidth="1"/>
    <col min="10" max="10" width="23.7109375" customWidth="1"/>
    <col min="11" max="11" width="18.5703125" customWidth="1"/>
    <col min="13" max="13" width="6.7109375" customWidth="1"/>
    <col min="14" max="14" width="6.42578125" customWidth="1"/>
    <col min="15" max="15" width="5.85546875" hidden="1" customWidth="1"/>
    <col min="16" max="16" width="5.28515625" hidden="1" customWidth="1"/>
    <col min="17" max="17" width="5.7109375" hidden="1" customWidth="1"/>
    <col min="18" max="18" width="6.140625" hidden="1" customWidth="1"/>
    <col min="19" max="19" width="14" customWidth="1"/>
    <col min="20" max="20" width="14.7109375" hidden="1" customWidth="1"/>
    <col min="21" max="21" width="16.85546875" hidden="1" customWidth="1"/>
    <col min="25" max="25" width="15.5703125" hidden="1" customWidth="1"/>
    <col min="26" max="27" width="0" hidden="1" customWidth="1"/>
  </cols>
  <sheetData>
    <row r="1" spans="1:27" ht="23.25">
      <c r="A1" s="139" t="s">
        <v>706</v>
      </c>
      <c r="G1" s="139" t="s">
        <v>706</v>
      </c>
      <c r="V1" s="141"/>
      <c r="W1" s="4"/>
    </row>
    <row r="2" spans="1:27" ht="23.25">
      <c r="A2" s="139" t="s">
        <v>707</v>
      </c>
      <c r="B2" s="140"/>
      <c r="C2" s="140"/>
      <c r="D2" s="140"/>
      <c r="E2" s="140"/>
      <c r="F2" s="140"/>
      <c r="G2" s="139" t="s">
        <v>1855</v>
      </c>
      <c r="H2" s="140"/>
      <c r="I2" s="140"/>
      <c r="J2" s="140"/>
      <c r="K2" s="140"/>
      <c r="L2" s="140"/>
      <c r="M2" s="140"/>
      <c r="N2" s="140"/>
      <c r="O2" s="140"/>
      <c r="P2" s="140"/>
      <c r="Q2" s="140"/>
      <c r="R2" s="140"/>
      <c r="S2" s="140"/>
      <c r="T2" s="140"/>
      <c r="U2" s="142"/>
      <c r="V2" s="141"/>
      <c r="W2" s="4"/>
    </row>
    <row r="3" spans="1:27" ht="23.25">
      <c r="A3" s="139" t="s">
        <v>1111</v>
      </c>
      <c r="B3" s="140"/>
      <c r="C3" s="140"/>
      <c r="D3" s="140"/>
      <c r="E3" s="140"/>
      <c r="F3" s="140"/>
      <c r="G3" s="139" t="s">
        <v>1854</v>
      </c>
      <c r="H3" s="140"/>
      <c r="I3" s="140"/>
      <c r="J3" s="140"/>
      <c r="K3" s="140"/>
      <c r="L3" s="140"/>
      <c r="M3" s="140"/>
      <c r="N3" s="140"/>
      <c r="O3" s="140"/>
      <c r="P3" s="140"/>
      <c r="Q3" s="140"/>
      <c r="R3" s="140"/>
      <c r="S3" s="140"/>
      <c r="T3" s="140"/>
      <c r="U3" s="142"/>
      <c r="V3" s="141"/>
      <c r="W3" s="4"/>
    </row>
    <row r="4" spans="1:27" ht="23.25">
      <c r="A4" s="139" t="s">
        <v>1853</v>
      </c>
      <c r="B4" s="140"/>
      <c r="C4" s="140"/>
      <c r="D4" s="140"/>
      <c r="E4" s="140"/>
      <c r="F4" s="140"/>
      <c r="G4" s="139" t="s">
        <v>1853</v>
      </c>
      <c r="H4" s="140"/>
      <c r="I4" s="140"/>
      <c r="J4" s="140"/>
      <c r="K4" s="140"/>
      <c r="L4" s="140"/>
      <c r="M4" s="140"/>
      <c r="N4" s="140"/>
      <c r="O4" s="140"/>
      <c r="P4" s="140"/>
      <c r="Q4" s="140"/>
      <c r="R4" s="140"/>
      <c r="S4" s="140"/>
      <c r="T4" s="140"/>
      <c r="U4" s="142"/>
      <c r="V4" s="4"/>
      <c r="W4" s="4"/>
    </row>
    <row r="5" spans="1:27" ht="21">
      <c r="H5" s="318"/>
      <c r="I5" s="318"/>
      <c r="J5" s="318"/>
      <c r="K5" s="318"/>
      <c r="L5" s="318"/>
      <c r="M5" s="318"/>
      <c r="N5" s="318"/>
      <c r="O5" s="318"/>
      <c r="P5" s="318"/>
      <c r="Q5" s="318"/>
      <c r="R5" s="318"/>
      <c r="S5" s="318"/>
      <c r="T5" s="318"/>
    </row>
    <row r="6" spans="1:27">
      <c r="V6" s="309" t="s">
        <v>1690</v>
      </c>
      <c r="W6" s="309"/>
      <c r="X6" s="309"/>
      <c r="Y6" s="310" t="s">
        <v>1690</v>
      </c>
      <c r="Z6" s="310"/>
      <c r="AA6" s="310"/>
    </row>
    <row r="7" spans="1:27" ht="32.25" customHeight="1">
      <c r="A7" s="323" t="s">
        <v>1102</v>
      </c>
      <c r="B7" s="323"/>
      <c r="C7" s="323"/>
      <c r="D7" s="323"/>
      <c r="E7" s="323"/>
      <c r="F7" s="323"/>
      <c r="G7" s="321" t="s">
        <v>1114</v>
      </c>
      <c r="H7" s="321"/>
      <c r="I7" s="321"/>
      <c r="J7" s="321"/>
      <c r="K7" s="321"/>
      <c r="L7" s="321"/>
      <c r="M7" s="321"/>
      <c r="N7" s="321"/>
      <c r="O7" s="321"/>
      <c r="P7" s="321"/>
      <c r="Q7" s="321"/>
      <c r="R7" s="321"/>
      <c r="S7" s="321"/>
      <c r="T7" s="321"/>
      <c r="U7" s="321"/>
      <c r="V7" s="315" t="s">
        <v>1706</v>
      </c>
      <c r="W7" s="316"/>
      <c r="X7" s="317"/>
      <c r="Y7" s="315" t="s">
        <v>1691</v>
      </c>
      <c r="Z7" s="316"/>
      <c r="AA7" s="317"/>
    </row>
    <row r="8" spans="1:27" ht="15" customHeight="1">
      <c r="A8" s="258" t="s">
        <v>1236</v>
      </c>
      <c r="B8" s="324" t="s">
        <v>703</v>
      </c>
      <c r="C8" s="324" t="s">
        <v>700</v>
      </c>
      <c r="D8" s="326" t="s">
        <v>701</v>
      </c>
      <c r="E8" s="327"/>
      <c r="F8" s="324" t="s">
        <v>704</v>
      </c>
      <c r="G8" s="319" t="s">
        <v>711</v>
      </c>
      <c r="H8" s="319" t="s">
        <v>703</v>
      </c>
      <c r="I8" s="319" t="s">
        <v>698</v>
      </c>
      <c r="J8" s="319" t="s">
        <v>699</v>
      </c>
      <c r="K8" s="319" t="s">
        <v>702</v>
      </c>
      <c r="L8" s="319" t="s">
        <v>700</v>
      </c>
      <c r="M8" s="320" t="s">
        <v>451</v>
      </c>
      <c r="N8" s="20" t="s">
        <v>701</v>
      </c>
      <c r="O8" s="21"/>
      <c r="P8" s="21"/>
      <c r="Q8" s="21"/>
      <c r="R8" s="22"/>
      <c r="S8" s="319" t="s">
        <v>704</v>
      </c>
      <c r="T8" s="319" t="s">
        <v>718</v>
      </c>
      <c r="U8" s="319" t="s">
        <v>727</v>
      </c>
      <c r="V8" s="100" t="s">
        <v>1021</v>
      </c>
      <c r="W8" s="311" t="s">
        <v>1693</v>
      </c>
      <c r="X8" s="311" t="s">
        <v>1707</v>
      </c>
      <c r="Y8" s="313" t="s">
        <v>1692</v>
      </c>
      <c r="Z8" s="313" t="s">
        <v>1722</v>
      </c>
      <c r="AA8" s="313" t="s">
        <v>1694</v>
      </c>
    </row>
    <row r="9" spans="1:27" ht="31.5" customHeight="1">
      <c r="A9" s="293"/>
      <c r="B9" s="325"/>
      <c r="C9" s="325"/>
      <c r="D9" s="24" t="s">
        <v>1107</v>
      </c>
      <c r="E9" s="24" t="s">
        <v>1108</v>
      </c>
      <c r="F9" s="325"/>
      <c r="G9" s="319"/>
      <c r="H9" s="319"/>
      <c r="I9" s="319" t="s">
        <v>698</v>
      </c>
      <c r="J9" s="319"/>
      <c r="K9" s="319"/>
      <c r="L9" s="319" t="s">
        <v>700</v>
      </c>
      <c r="M9" s="320"/>
      <c r="N9" s="19">
        <v>2012</v>
      </c>
      <c r="O9" s="23">
        <v>2013</v>
      </c>
      <c r="P9" s="19">
        <v>2014</v>
      </c>
      <c r="Q9" s="19">
        <v>2015</v>
      </c>
      <c r="R9" s="19">
        <v>2016</v>
      </c>
      <c r="S9" s="319" t="s">
        <v>704</v>
      </c>
      <c r="T9" s="319"/>
      <c r="U9" s="319"/>
      <c r="V9" s="101" t="s">
        <v>1021</v>
      </c>
      <c r="W9" s="312"/>
      <c r="X9" s="312"/>
      <c r="Y9" s="314"/>
      <c r="Z9" s="314" t="s">
        <v>1021</v>
      </c>
      <c r="AA9" s="314" t="s">
        <v>1021</v>
      </c>
    </row>
    <row r="10" spans="1:27" s="57" customFormat="1" ht="92.25" customHeight="1">
      <c r="A10" s="34"/>
      <c r="B10" s="34"/>
      <c r="C10" s="34"/>
      <c r="D10" s="34"/>
      <c r="E10" s="34"/>
      <c r="F10" s="34"/>
      <c r="G10" s="36" t="s">
        <v>1178</v>
      </c>
      <c r="H10" s="49" t="s">
        <v>88</v>
      </c>
      <c r="I10" s="49" t="s">
        <v>890</v>
      </c>
      <c r="J10" s="49" t="s">
        <v>470</v>
      </c>
      <c r="K10" s="49" t="s">
        <v>89</v>
      </c>
      <c r="L10" s="49" t="s">
        <v>892</v>
      </c>
      <c r="M10" s="53">
        <v>0.3</v>
      </c>
      <c r="N10" s="113">
        <v>0.2</v>
      </c>
      <c r="O10" s="112">
        <v>0.2</v>
      </c>
      <c r="P10" s="53">
        <v>0.2</v>
      </c>
      <c r="Q10" s="53">
        <v>0.2</v>
      </c>
      <c r="R10" s="53">
        <v>0.2</v>
      </c>
      <c r="S10" s="49" t="s">
        <v>891</v>
      </c>
      <c r="T10" s="49"/>
      <c r="U10" s="234" t="s">
        <v>894</v>
      </c>
      <c r="V10" s="96" t="s">
        <v>1075</v>
      </c>
      <c r="W10" s="122">
        <v>1</v>
      </c>
      <c r="X10" s="2"/>
      <c r="Y10" s="7" t="s">
        <v>1756</v>
      </c>
      <c r="Z10" s="2"/>
      <c r="AA10" s="2"/>
    </row>
    <row r="11" spans="1:27" s="57" customFormat="1" ht="90">
      <c r="A11" s="34"/>
      <c r="B11" s="34"/>
      <c r="C11" s="34"/>
      <c r="D11" s="34"/>
      <c r="E11" s="34"/>
      <c r="F11" s="34"/>
      <c r="G11" s="36" t="s">
        <v>1178</v>
      </c>
      <c r="H11" s="34"/>
      <c r="I11" s="34"/>
      <c r="J11" s="34"/>
      <c r="K11" s="52" t="s">
        <v>90</v>
      </c>
      <c r="L11" s="49" t="s">
        <v>469</v>
      </c>
      <c r="M11" s="53">
        <v>0.3</v>
      </c>
      <c r="N11" s="113">
        <v>0.2</v>
      </c>
      <c r="O11" s="112">
        <v>0.2</v>
      </c>
      <c r="P11" s="53">
        <v>0.2</v>
      </c>
      <c r="Q11" s="53">
        <v>0.2</v>
      </c>
      <c r="R11" s="53">
        <v>0.2</v>
      </c>
      <c r="S11" s="49" t="s">
        <v>891</v>
      </c>
      <c r="T11" s="34"/>
      <c r="U11" s="322"/>
      <c r="V11" s="96" t="s">
        <v>1077</v>
      </c>
      <c r="W11" s="122">
        <v>1</v>
      </c>
      <c r="X11" s="2"/>
      <c r="Y11" s="7" t="s">
        <v>1757</v>
      </c>
      <c r="Z11" s="2"/>
      <c r="AA11" s="2"/>
    </row>
    <row r="12" spans="1:27" s="57" customFormat="1" ht="381.75" customHeight="1">
      <c r="A12" s="34"/>
      <c r="B12" s="34"/>
      <c r="C12" s="34"/>
      <c r="D12" s="34"/>
      <c r="E12" s="34"/>
      <c r="F12" s="34"/>
      <c r="G12" s="36" t="s">
        <v>1178</v>
      </c>
      <c r="H12" s="34"/>
      <c r="I12" s="34"/>
      <c r="J12" s="34"/>
      <c r="K12" s="97" t="s">
        <v>91</v>
      </c>
      <c r="L12" s="49" t="s">
        <v>892</v>
      </c>
      <c r="M12" s="53">
        <v>0.3</v>
      </c>
      <c r="N12" s="113">
        <v>0.2</v>
      </c>
      <c r="O12" s="112">
        <v>0.2</v>
      </c>
      <c r="P12" s="53">
        <v>0.2</v>
      </c>
      <c r="Q12" s="53">
        <v>0.2</v>
      </c>
      <c r="R12" s="53">
        <v>0.2</v>
      </c>
      <c r="S12" s="49" t="s">
        <v>893</v>
      </c>
      <c r="T12" s="34"/>
      <c r="U12" s="322"/>
      <c r="V12" s="96" t="s">
        <v>1076</v>
      </c>
      <c r="W12" s="122">
        <v>1</v>
      </c>
      <c r="X12" s="2"/>
      <c r="Y12" s="88" t="s">
        <v>1758</v>
      </c>
      <c r="Z12" s="2"/>
      <c r="AA12" s="2"/>
    </row>
    <row r="13" spans="1:27" s="57" customFormat="1" ht="165">
      <c r="A13" s="34"/>
      <c r="B13" s="34"/>
      <c r="C13" s="34"/>
      <c r="D13" s="34"/>
      <c r="E13" s="34"/>
      <c r="F13" s="34"/>
      <c r="G13" s="36" t="s">
        <v>1178</v>
      </c>
      <c r="H13" s="34"/>
      <c r="I13" s="34"/>
      <c r="J13" s="34"/>
      <c r="K13" s="49" t="s">
        <v>279</v>
      </c>
      <c r="L13" s="49" t="s">
        <v>472</v>
      </c>
      <c r="M13" s="53">
        <v>0.1</v>
      </c>
      <c r="N13" s="113">
        <v>0.2</v>
      </c>
      <c r="O13" s="112">
        <v>0.2</v>
      </c>
      <c r="P13" s="53">
        <v>0.2</v>
      </c>
      <c r="Q13" s="53">
        <v>0.2</v>
      </c>
      <c r="R13" s="53">
        <v>0.2</v>
      </c>
      <c r="S13" s="49" t="s">
        <v>891</v>
      </c>
      <c r="T13" s="34"/>
      <c r="U13" s="299"/>
      <c r="V13" s="96" t="s">
        <v>1078</v>
      </c>
      <c r="W13" s="122">
        <v>1</v>
      </c>
      <c r="X13" s="2"/>
      <c r="Y13" s="103" t="s">
        <v>1759</v>
      </c>
      <c r="Z13" s="2"/>
      <c r="AA13" s="2"/>
    </row>
    <row r="14" spans="1:27" s="57" customFormat="1" ht="165">
      <c r="A14" s="34"/>
      <c r="B14" s="34"/>
      <c r="C14" s="34"/>
      <c r="D14" s="34"/>
      <c r="E14" s="34"/>
      <c r="F14" s="34"/>
      <c r="G14" s="36" t="s">
        <v>1178</v>
      </c>
      <c r="H14" s="49" t="s">
        <v>92</v>
      </c>
      <c r="I14" s="49" t="s">
        <v>926</v>
      </c>
      <c r="J14" s="49" t="s">
        <v>93</v>
      </c>
      <c r="K14" s="226" t="s">
        <v>94</v>
      </c>
      <c r="L14" s="49" t="s">
        <v>927</v>
      </c>
      <c r="M14" s="53">
        <v>0.5</v>
      </c>
      <c r="N14" s="53">
        <v>1</v>
      </c>
      <c r="O14" s="53"/>
      <c r="P14" s="53"/>
      <c r="Q14" s="53"/>
      <c r="R14" s="53"/>
      <c r="S14" s="49" t="s">
        <v>928</v>
      </c>
      <c r="T14" s="34"/>
      <c r="U14" s="234" t="s">
        <v>930</v>
      </c>
      <c r="V14" s="96" t="s">
        <v>1081</v>
      </c>
      <c r="W14" s="122">
        <v>0.4</v>
      </c>
      <c r="X14" s="121" t="s">
        <v>1813</v>
      </c>
      <c r="Y14" s="2"/>
      <c r="Z14" s="2"/>
      <c r="AA14" s="2"/>
    </row>
    <row r="15" spans="1:27" s="57" customFormat="1" ht="105">
      <c r="A15" s="34"/>
      <c r="B15" s="34"/>
      <c r="C15" s="34"/>
      <c r="D15" s="34"/>
      <c r="E15" s="34"/>
      <c r="F15" s="34"/>
      <c r="G15" s="36" t="s">
        <v>1178</v>
      </c>
      <c r="H15" s="49"/>
      <c r="I15" s="49"/>
      <c r="J15" s="49"/>
      <c r="K15" s="52" t="s">
        <v>95</v>
      </c>
      <c r="L15" s="49" t="s">
        <v>929</v>
      </c>
      <c r="M15" s="53">
        <v>0.5</v>
      </c>
      <c r="N15" s="53"/>
      <c r="O15" s="112">
        <v>0.5</v>
      </c>
      <c r="P15" s="53">
        <v>0.5</v>
      </c>
      <c r="Q15" s="53"/>
      <c r="R15" s="53"/>
      <c r="S15" s="49" t="s">
        <v>928</v>
      </c>
      <c r="T15" s="34"/>
      <c r="U15" s="270"/>
      <c r="V15" s="2"/>
      <c r="W15" s="122"/>
      <c r="X15" s="2"/>
      <c r="Y15" s="9" t="s">
        <v>1760</v>
      </c>
      <c r="Z15" s="2"/>
      <c r="AA15" s="2"/>
    </row>
    <row r="16" spans="1:27" ht="120" hidden="1" customHeight="1">
      <c r="H16" s="7"/>
      <c r="I16" s="1"/>
      <c r="J16" s="1" t="s">
        <v>96</v>
      </c>
      <c r="K16" s="7" t="s">
        <v>97</v>
      </c>
      <c r="L16" s="1" t="s">
        <v>931</v>
      </c>
      <c r="M16" s="11">
        <v>1</v>
      </c>
      <c r="N16" s="5"/>
      <c r="O16" s="5"/>
      <c r="P16" s="5"/>
      <c r="Q16" s="5">
        <v>0.5</v>
      </c>
      <c r="R16" s="5">
        <v>0.5</v>
      </c>
      <c r="S16" s="1" t="s">
        <v>928</v>
      </c>
      <c r="T16" s="2"/>
      <c r="U16" s="10" t="s">
        <v>932</v>
      </c>
    </row>
    <row r="17" spans="8:21" hidden="1">
      <c r="H17" s="2"/>
      <c r="I17" s="2"/>
      <c r="J17" s="3"/>
      <c r="K17" s="2"/>
      <c r="L17" s="2"/>
      <c r="M17" s="5"/>
      <c r="N17" s="2"/>
      <c r="O17" s="2"/>
      <c r="P17" s="2"/>
      <c r="Q17" s="2"/>
      <c r="R17" s="2"/>
      <c r="S17" s="2"/>
      <c r="T17" s="2"/>
      <c r="U17" s="8"/>
    </row>
    <row r="18" spans="8:21" hidden="1">
      <c r="H18" s="1"/>
      <c r="I18" s="1"/>
      <c r="J18" s="3"/>
      <c r="K18" s="2"/>
      <c r="L18" s="2"/>
      <c r="M18" s="5"/>
      <c r="N18" s="2"/>
      <c r="O18" s="2"/>
      <c r="P18" s="2"/>
      <c r="Q18" s="2"/>
      <c r="R18" s="2"/>
      <c r="S18" s="2"/>
      <c r="T18" s="2"/>
      <c r="U18" s="1"/>
    </row>
    <row r="19" spans="8:21" hidden="1">
      <c r="H19" s="2"/>
      <c r="I19" s="2"/>
      <c r="J19" s="3"/>
      <c r="K19" s="2"/>
      <c r="L19" s="2"/>
      <c r="M19" s="2"/>
      <c r="N19" s="2"/>
      <c r="O19" s="2"/>
      <c r="P19" s="2"/>
      <c r="Q19" s="2"/>
      <c r="R19" s="2"/>
      <c r="S19" s="2"/>
      <c r="T19" s="2"/>
      <c r="U19" s="1"/>
    </row>
    <row r="20" spans="8:21" hidden="1"/>
    <row r="21" spans="8:21" hidden="1"/>
    <row r="22" spans="8:21" hidden="1"/>
    <row r="23" spans="8:21" hidden="1"/>
    <row r="24" spans="8:21" hidden="1">
      <c r="J24" t="s">
        <v>787</v>
      </c>
    </row>
    <row r="25" spans="8:21" hidden="1">
      <c r="J25" t="s">
        <v>788</v>
      </c>
    </row>
    <row r="26" spans="8:21" hidden="1">
      <c r="J26" t="s">
        <v>789</v>
      </c>
    </row>
    <row r="27" spans="8:21" hidden="1">
      <c r="J27" t="s">
        <v>790</v>
      </c>
    </row>
    <row r="28" spans="8:21" hidden="1">
      <c r="J28" t="s">
        <v>791</v>
      </c>
    </row>
  </sheetData>
  <protectedRanges>
    <protectedRange sqref="V10" name="Rango1_4_6"/>
    <protectedRange sqref="V12" name="Rango1_4_1_2"/>
    <protectedRange sqref="V11" name="Rango1_4_2_2"/>
    <protectedRange sqref="V13" name="Rango1_4_3_2"/>
    <protectedRange sqref="Y15" name="Rango1_4_4_2"/>
    <protectedRange sqref="Y13" name="Rango1_4_5_1"/>
  </protectedRanges>
  <mergeCells count="29">
    <mergeCell ref="A7:F7"/>
    <mergeCell ref="A8:A9"/>
    <mergeCell ref="B8:B9"/>
    <mergeCell ref="C8:C9"/>
    <mergeCell ref="D8:E8"/>
    <mergeCell ref="F8:F9"/>
    <mergeCell ref="U14:U15"/>
    <mergeCell ref="U8:U9"/>
    <mergeCell ref="S8:S9"/>
    <mergeCell ref="T8:T9"/>
    <mergeCell ref="U10:U13"/>
    <mergeCell ref="H5:T5"/>
    <mergeCell ref="L8:L9"/>
    <mergeCell ref="M8:M9"/>
    <mergeCell ref="H8:H9"/>
    <mergeCell ref="I8:I9"/>
    <mergeCell ref="J8:J9"/>
    <mergeCell ref="K8:K9"/>
    <mergeCell ref="G7:U7"/>
    <mergeCell ref="G8:G9"/>
    <mergeCell ref="V6:X6"/>
    <mergeCell ref="Y6:AA6"/>
    <mergeCell ref="W8:W9"/>
    <mergeCell ref="X8:X9"/>
    <mergeCell ref="Y8:Y9"/>
    <mergeCell ref="Z8:Z9"/>
    <mergeCell ref="AA8:AA9"/>
    <mergeCell ref="V7:X7"/>
    <mergeCell ref="Y7:AA7"/>
  </mergeCells>
  <phoneticPr fontId="7" type="noConversion"/>
  <printOptions horizontalCentered="1" verticalCentered="1"/>
  <pageMargins left="0.15748031496062992" right="0.15748031496062992" top="0.31496062992125984" bottom="0.35433070866141736" header="0.19685039370078741" footer="0.31496062992125984"/>
  <pageSetup scale="60" orientation="landscape" r:id="rId1"/>
</worksheet>
</file>

<file path=xl/worksheets/sheet6.xml><?xml version="1.0" encoding="utf-8"?>
<worksheet xmlns="http://schemas.openxmlformats.org/spreadsheetml/2006/main" xmlns:r="http://schemas.openxmlformats.org/officeDocument/2006/relationships">
  <dimension ref="A1:AC34"/>
  <sheetViews>
    <sheetView zoomScale="62" zoomScaleNormal="62" workbookViewId="0">
      <pane ySplit="8" topLeftCell="A9" activePane="bottomLeft" state="frozen"/>
      <selection pane="bottomLeft" activeCell="K22" sqref="K22"/>
    </sheetView>
  </sheetViews>
  <sheetFormatPr baseColWidth="10" defaultRowHeight="15"/>
  <cols>
    <col min="1" max="1" width="22" style="31" hidden="1" customWidth="1"/>
    <col min="2" max="3" width="23.140625" style="31" hidden="1" customWidth="1"/>
    <col min="4" max="4" width="10.5703125" style="31" hidden="1" customWidth="1"/>
    <col min="5" max="5" width="9" style="31" hidden="1" customWidth="1"/>
    <col min="6" max="6" width="19.28515625" style="31" hidden="1" customWidth="1"/>
    <col min="7" max="7" width="19.7109375" style="31" customWidth="1"/>
    <col min="8" max="8" width="22.42578125" style="31" customWidth="1"/>
    <col min="9" max="9" width="27.5703125" style="31" customWidth="1"/>
    <col min="10" max="10" width="20.85546875" style="31" customWidth="1"/>
    <col min="11" max="11" width="21.5703125" style="31" customWidth="1"/>
    <col min="12" max="12" width="11.42578125" style="31"/>
    <col min="13" max="13" width="8.140625" style="31" customWidth="1"/>
    <col min="14" max="14" width="6.7109375" style="31" customWidth="1"/>
    <col min="15" max="16" width="7.7109375" style="31" hidden="1" customWidth="1"/>
    <col min="17" max="17" width="6.28515625" style="31" hidden="1" customWidth="1"/>
    <col min="18" max="18" width="7.85546875" style="31" hidden="1" customWidth="1"/>
    <col min="19" max="19" width="15.7109375" style="31" customWidth="1"/>
    <col min="20" max="20" width="15.28515625" style="31" hidden="1" customWidth="1"/>
    <col min="21" max="21" width="15.42578125" style="31" hidden="1" customWidth="1"/>
    <col min="22" max="22" width="18.140625" style="31" customWidth="1"/>
    <col min="23" max="24" width="11.42578125" style="31"/>
    <col min="25" max="25" width="14.42578125" style="31" hidden="1" customWidth="1"/>
    <col min="26" max="27" width="0" style="31" hidden="1" customWidth="1"/>
    <col min="28" max="16384" width="11.42578125" style="31"/>
  </cols>
  <sheetData>
    <row r="1" spans="1:29" ht="23.25">
      <c r="G1" s="145" t="s">
        <v>706</v>
      </c>
      <c r="H1" s="291"/>
      <c r="I1" s="291"/>
      <c r="J1" s="291"/>
      <c r="K1" s="291"/>
      <c r="L1" s="291"/>
      <c r="M1" s="291"/>
      <c r="N1" s="291"/>
      <c r="O1" s="291"/>
      <c r="P1" s="291"/>
      <c r="Q1" s="291"/>
      <c r="R1" s="291"/>
      <c r="S1" s="291"/>
      <c r="T1" s="291"/>
      <c r="V1" s="143"/>
      <c r="W1" s="146"/>
      <c r="X1" s="146"/>
      <c r="Y1" s="146"/>
      <c r="Z1" s="146"/>
      <c r="AA1" s="146"/>
      <c r="AB1" s="146"/>
      <c r="AC1" s="146"/>
    </row>
    <row r="2" spans="1:29" ht="23.25">
      <c r="B2" s="147"/>
      <c r="C2" s="147"/>
      <c r="D2" s="147"/>
      <c r="E2" s="147"/>
      <c r="F2" s="147"/>
      <c r="G2" s="145" t="s">
        <v>1855</v>
      </c>
      <c r="H2" s="147"/>
      <c r="I2" s="147"/>
      <c r="J2" s="147"/>
      <c r="K2" s="147"/>
      <c r="L2" s="147"/>
      <c r="M2" s="147"/>
      <c r="N2" s="147"/>
      <c r="O2" s="147"/>
      <c r="P2" s="147"/>
      <c r="Q2" s="147"/>
      <c r="R2" s="147"/>
      <c r="S2" s="147"/>
      <c r="T2" s="147"/>
      <c r="U2" s="187"/>
      <c r="V2" s="143"/>
      <c r="W2" s="146"/>
      <c r="X2" s="146"/>
      <c r="Y2" s="146"/>
      <c r="Z2" s="146"/>
      <c r="AA2" s="146"/>
      <c r="AB2" s="146"/>
      <c r="AC2" s="146"/>
    </row>
    <row r="3" spans="1:29" ht="23.25">
      <c r="B3" s="147"/>
      <c r="C3" s="147"/>
      <c r="D3" s="147"/>
      <c r="E3" s="147"/>
      <c r="F3" s="147"/>
      <c r="G3" s="145" t="s">
        <v>1854</v>
      </c>
      <c r="H3" s="147"/>
      <c r="I3" s="147"/>
      <c r="J3" s="147"/>
      <c r="K3" s="147"/>
      <c r="L3" s="147"/>
      <c r="M3" s="147"/>
      <c r="N3" s="147"/>
      <c r="O3" s="147"/>
      <c r="P3" s="147"/>
      <c r="Q3" s="147"/>
      <c r="R3" s="147"/>
      <c r="S3" s="147"/>
      <c r="T3" s="147"/>
      <c r="U3" s="187"/>
      <c r="V3" s="143"/>
      <c r="W3" s="146"/>
      <c r="X3" s="146"/>
      <c r="Y3" s="146"/>
      <c r="Z3" s="146"/>
      <c r="AA3" s="146"/>
      <c r="AB3" s="146"/>
      <c r="AC3" s="146"/>
    </row>
    <row r="4" spans="1:29" ht="23.25">
      <c r="B4" s="147"/>
      <c r="C4" s="147"/>
      <c r="D4" s="147"/>
      <c r="E4" s="147"/>
      <c r="F4" s="147"/>
      <c r="G4" s="145" t="s">
        <v>1799</v>
      </c>
      <c r="H4" s="147"/>
      <c r="I4" s="147"/>
      <c r="J4" s="147"/>
      <c r="K4" s="147"/>
      <c r="L4" s="147"/>
      <c r="M4" s="147"/>
      <c r="N4" s="147"/>
      <c r="O4" s="147"/>
      <c r="P4" s="147"/>
      <c r="Q4" s="147"/>
      <c r="R4" s="147"/>
      <c r="S4" s="147"/>
      <c r="T4" s="147"/>
      <c r="U4" s="187"/>
      <c r="V4" s="146"/>
      <c r="W4" s="146"/>
      <c r="X4" s="146"/>
      <c r="Y4" s="146"/>
      <c r="Z4" s="146"/>
      <c r="AA4" s="146"/>
      <c r="AB4" s="146"/>
      <c r="AC4" s="146"/>
    </row>
    <row r="5" spans="1:29" ht="21">
      <c r="H5" s="32"/>
      <c r="I5" s="32"/>
      <c r="J5" s="32"/>
      <c r="K5" s="32"/>
      <c r="L5" s="32"/>
      <c r="M5" s="32"/>
      <c r="N5" s="32"/>
      <c r="O5" s="32"/>
      <c r="V5" s="328" t="s">
        <v>1690</v>
      </c>
      <c r="W5" s="328"/>
      <c r="X5" s="328"/>
      <c r="Y5" s="293" t="s">
        <v>1690</v>
      </c>
      <c r="Z5" s="293"/>
      <c r="AA5" s="293"/>
    </row>
    <row r="6" spans="1:29" ht="27" customHeight="1">
      <c r="A6" s="292" t="s">
        <v>1102</v>
      </c>
      <c r="B6" s="292"/>
      <c r="C6" s="292"/>
      <c r="D6" s="292"/>
      <c r="E6" s="292"/>
      <c r="F6" s="292"/>
      <c r="G6" s="247" t="s">
        <v>1114</v>
      </c>
      <c r="H6" s="248"/>
      <c r="I6" s="248"/>
      <c r="J6" s="248"/>
      <c r="K6" s="248"/>
      <c r="L6" s="248"/>
      <c r="M6" s="248"/>
      <c r="N6" s="248"/>
      <c r="O6" s="248"/>
      <c r="P6" s="248"/>
      <c r="Q6" s="248"/>
      <c r="R6" s="248"/>
      <c r="S6" s="248"/>
      <c r="T6" s="248"/>
      <c r="U6" s="248"/>
      <c r="V6" s="247" t="s">
        <v>1706</v>
      </c>
      <c r="W6" s="248"/>
      <c r="X6" s="249"/>
      <c r="Y6" s="247" t="s">
        <v>1691</v>
      </c>
      <c r="Z6" s="248"/>
      <c r="AA6" s="249"/>
    </row>
    <row r="7" spans="1:29" ht="15" customHeight="1">
      <c r="A7" s="258" t="s">
        <v>1236</v>
      </c>
      <c r="B7" s="258" t="s">
        <v>703</v>
      </c>
      <c r="C7" s="258" t="s">
        <v>700</v>
      </c>
      <c r="D7" s="294" t="s">
        <v>701</v>
      </c>
      <c r="E7" s="295"/>
      <c r="F7" s="258" t="s">
        <v>704</v>
      </c>
      <c r="G7" s="256" t="s">
        <v>711</v>
      </c>
      <c r="H7" s="256" t="s">
        <v>703</v>
      </c>
      <c r="I7" s="256" t="s">
        <v>698</v>
      </c>
      <c r="J7" s="256" t="s">
        <v>699</v>
      </c>
      <c r="K7" s="256" t="s">
        <v>702</v>
      </c>
      <c r="L7" s="257" t="s">
        <v>700</v>
      </c>
      <c r="M7" s="289" t="s">
        <v>451</v>
      </c>
      <c r="N7" s="331" t="s">
        <v>701</v>
      </c>
      <c r="O7" s="332"/>
      <c r="P7" s="332"/>
      <c r="Q7" s="332"/>
      <c r="R7" s="333"/>
      <c r="S7" s="289" t="s">
        <v>704</v>
      </c>
      <c r="T7" s="289" t="s">
        <v>718</v>
      </c>
      <c r="U7" s="289" t="s">
        <v>728</v>
      </c>
      <c r="V7" s="176" t="s">
        <v>1021</v>
      </c>
      <c r="W7" s="250" t="s">
        <v>1693</v>
      </c>
      <c r="X7" s="250" t="s">
        <v>1707</v>
      </c>
      <c r="Y7" s="245" t="s">
        <v>1692</v>
      </c>
      <c r="Z7" s="245" t="s">
        <v>1722</v>
      </c>
      <c r="AA7" s="245" t="s">
        <v>1694</v>
      </c>
    </row>
    <row r="8" spans="1:29" ht="56.25" customHeight="1">
      <c r="A8" s="293"/>
      <c r="B8" s="293"/>
      <c r="C8" s="293"/>
      <c r="D8" s="33" t="s">
        <v>1107</v>
      </c>
      <c r="E8" s="33" t="s">
        <v>1108</v>
      </c>
      <c r="F8" s="293"/>
      <c r="G8" s="256"/>
      <c r="H8" s="256"/>
      <c r="I8" s="256" t="s">
        <v>698</v>
      </c>
      <c r="J8" s="256"/>
      <c r="K8" s="256"/>
      <c r="L8" s="307"/>
      <c r="M8" s="290"/>
      <c r="N8" s="171">
        <v>2012</v>
      </c>
      <c r="O8" s="171">
        <v>2013</v>
      </c>
      <c r="P8" s="171">
        <v>2014</v>
      </c>
      <c r="Q8" s="171">
        <v>2015</v>
      </c>
      <c r="R8" s="171">
        <v>2016</v>
      </c>
      <c r="S8" s="290" t="s">
        <v>704</v>
      </c>
      <c r="T8" s="290"/>
      <c r="U8" s="290"/>
      <c r="V8" s="189" t="s">
        <v>1021</v>
      </c>
      <c r="W8" s="306"/>
      <c r="X8" s="306"/>
      <c r="Y8" s="251"/>
      <c r="Z8" s="251" t="s">
        <v>1692</v>
      </c>
      <c r="AA8" s="251" t="s">
        <v>1021</v>
      </c>
    </row>
    <row r="9" spans="1:29" s="57" customFormat="1" ht="141.75" customHeight="1">
      <c r="A9" s="133" t="s">
        <v>1240</v>
      </c>
      <c r="B9" s="133" t="s">
        <v>1586</v>
      </c>
      <c r="C9" s="133" t="s">
        <v>1689</v>
      </c>
      <c r="D9" s="63">
        <v>40909</v>
      </c>
      <c r="E9" s="63">
        <v>42705</v>
      </c>
      <c r="F9" s="134" t="s">
        <v>1330</v>
      </c>
      <c r="G9" s="128" t="s">
        <v>1148</v>
      </c>
      <c r="H9" s="133" t="s">
        <v>98</v>
      </c>
      <c r="I9" s="133" t="s">
        <v>1005</v>
      </c>
      <c r="J9" s="108" t="s">
        <v>99</v>
      </c>
      <c r="K9" s="133" t="s">
        <v>100</v>
      </c>
      <c r="L9" s="133" t="s">
        <v>399</v>
      </c>
      <c r="M9" s="53">
        <v>0.3</v>
      </c>
      <c r="N9" s="113">
        <v>0.2</v>
      </c>
      <c r="O9" s="112">
        <v>0.2</v>
      </c>
      <c r="P9" s="53">
        <v>0.2</v>
      </c>
      <c r="Q9" s="53">
        <v>0.2</v>
      </c>
      <c r="R9" s="53">
        <v>0.2</v>
      </c>
      <c r="S9" s="134" t="s">
        <v>1259</v>
      </c>
      <c r="T9" s="61" t="s">
        <v>723</v>
      </c>
      <c r="U9" s="133" t="s">
        <v>958</v>
      </c>
      <c r="V9" s="133" t="s">
        <v>1761</v>
      </c>
      <c r="W9" s="53">
        <v>1</v>
      </c>
      <c r="X9" s="133"/>
      <c r="Y9" s="133" t="s">
        <v>1762</v>
      </c>
      <c r="Z9" s="157"/>
      <c r="AA9" s="157"/>
    </row>
    <row r="10" spans="1:29" s="57" customFormat="1" ht="180">
      <c r="A10" s="34"/>
      <c r="B10" s="34"/>
      <c r="C10" s="34"/>
      <c r="D10" s="34"/>
      <c r="E10" s="34"/>
      <c r="F10" s="34"/>
      <c r="G10" s="128" t="s">
        <v>1148</v>
      </c>
      <c r="H10" s="34"/>
      <c r="I10" s="34"/>
      <c r="J10" s="133"/>
      <c r="K10" s="133" t="s">
        <v>101</v>
      </c>
      <c r="L10" s="133" t="s">
        <v>399</v>
      </c>
      <c r="M10" s="53">
        <v>0.7</v>
      </c>
      <c r="N10" s="113">
        <v>0.2</v>
      </c>
      <c r="O10" s="112">
        <v>0.2</v>
      </c>
      <c r="P10" s="53">
        <v>0.2</v>
      </c>
      <c r="Q10" s="53">
        <v>0.2</v>
      </c>
      <c r="R10" s="53">
        <v>0.2</v>
      </c>
      <c r="S10" s="134" t="s">
        <v>1260</v>
      </c>
      <c r="T10" s="61" t="s">
        <v>723</v>
      </c>
      <c r="U10" s="133" t="s">
        <v>729</v>
      </c>
      <c r="V10" s="71" t="s">
        <v>1763</v>
      </c>
      <c r="W10" s="53">
        <v>1</v>
      </c>
      <c r="X10" s="133"/>
      <c r="Y10" s="133" t="s">
        <v>1764</v>
      </c>
      <c r="Z10" s="157"/>
      <c r="AA10" s="157"/>
    </row>
    <row r="11" spans="1:29" s="57" customFormat="1" ht="180">
      <c r="A11" s="34"/>
      <c r="B11" s="34"/>
      <c r="C11" s="34"/>
      <c r="D11" s="34"/>
      <c r="E11" s="34"/>
      <c r="F11" s="34"/>
      <c r="G11" s="128" t="s">
        <v>1148</v>
      </c>
      <c r="H11" s="34"/>
      <c r="I11" s="34"/>
      <c r="J11" s="108" t="s">
        <v>102</v>
      </c>
      <c r="K11" s="133" t="s">
        <v>103</v>
      </c>
      <c r="L11" s="133" t="s">
        <v>1006</v>
      </c>
      <c r="M11" s="53">
        <v>0.5</v>
      </c>
      <c r="N11" s="113">
        <v>1</v>
      </c>
      <c r="O11" s="61"/>
      <c r="P11" s="61"/>
      <c r="Q11" s="61"/>
      <c r="R11" s="61"/>
      <c r="S11" s="330" t="s">
        <v>1007</v>
      </c>
      <c r="T11" s="330" t="s">
        <v>1008</v>
      </c>
      <c r="U11" s="133" t="s">
        <v>1009</v>
      </c>
      <c r="V11" s="133" t="s">
        <v>1051</v>
      </c>
      <c r="W11" s="156">
        <v>1</v>
      </c>
      <c r="X11" s="157"/>
      <c r="Y11" s="157"/>
      <c r="Z11" s="157"/>
      <c r="AA11" s="157"/>
    </row>
    <row r="12" spans="1:29" s="57" customFormat="1" ht="194.25" hidden="1" customHeight="1">
      <c r="A12" s="34"/>
      <c r="B12" s="34"/>
      <c r="C12" s="34"/>
      <c r="D12" s="34"/>
      <c r="E12" s="34"/>
      <c r="F12" s="34"/>
      <c r="G12" s="128" t="s">
        <v>1148</v>
      </c>
      <c r="H12" s="34"/>
      <c r="I12" s="34"/>
      <c r="J12" s="133"/>
      <c r="K12" s="133" t="s">
        <v>104</v>
      </c>
      <c r="L12" s="133" t="s">
        <v>1010</v>
      </c>
      <c r="M12" s="53">
        <v>0.5</v>
      </c>
      <c r="N12" s="61"/>
      <c r="O12" s="61"/>
      <c r="P12" s="53">
        <v>1</v>
      </c>
      <c r="Q12" s="61"/>
      <c r="R12" s="61"/>
      <c r="S12" s="330"/>
      <c r="T12" s="330"/>
      <c r="U12" s="133" t="s">
        <v>285</v>
      </c>
      <c r="V12" s="133"/>
      <c r="W12" s="156"/>
      <c r="X12" s="157"/>
      <c r="Y12" s="157"/>
      <c r="Z12" s="157"/>
      <c r="AA12" s="157"/>
    </row>
    <row r="13" spans="1:29" s="57" customFormat="1" ht="165">
      <c r="A13" s="34"/>
      <c r="B13" s="34"/>
      <c r="C13" s="34"/>
      <c r="D13" s="34"/>
      <c r="E13" s="34"/>
      <c r="F13" s="34"/>
      <c r="G13" s="128" t="s">
        <v>1148</v>
      </c>
      <c r="H13" s="34"/>
      <c r="I13" s="34"/>
      <c r="J13" s="108" t="s">
        <v>207</v>
      </c>
      <c r="K13" s="133" t="s">
        <v>208</v>
      </c>
      <c r="L13" s="133" t="s">
        <v>286</v>
      </c>
      <c r="M13" s="53">
        <v>0.5</v>
      </c>
      <c r="N13" s="113">
        <v>1</v>
      </c>
      <c r="O13" s="61"/>
      <c r="P13" s="61"/>
      <c r="Q13" s="61"/>
      <c r="R13" s="61"/>
      <c r="S13" s="133" t="s">
        <v>287</v>
      </c>
      <c r="T13" s="133" t="s">
        <v>996</v>
      </c>
      <c r="U13" s="288" t="s">
        <v>408</v>
      </c>
      <c r="V13" s="133" t="s">
        <v>1052</v>
      </c>
      <c r="W13" s="156">
        <v>1</v>
      </c>
      <c r="X13" s="157"/>
      <c r="Y13" s="157"/>
      <c r="Z13" s="157"/>
      <c r="AA13" s="157"/>
    </row>
    <row r="14" spans="1:29" s="57" customFormat="1" ht="141.75" hidden="1" customHeight="1">
      <c r="A14" s="34"/>
      <c r="B14" s="34"/>
      <c r="C14" s="34"/>
      <c r="D14" s="34"/>
      <c r="E14" s="34"/>
      <c r="F14" s="34"/>
      <c r="G14" s="128" t="s">
        <v>1148</v>
      </c>
      <c r="H14" s="34"/>
      <c r="I14" s="34"/>
      <c r="J14" s="133"/>
      <c r="K14" s="108" t="s">
        <v>105</v>
      </c>
      <c r="L14" s="133" t="s">
        <v>288</v>
      </c>
      <c r="M14" s="53">
        <v>0.5</v>
      </c>
      <c r="N14" s="61"/>
      <c r="O14" s="53">
        <v>1</v>
      </c>
      <c r="P14" s="61"/>
      <c r="Q14" s="61"/>
      <c r="R14" s="61"/>
      <c r="S14" s="134" t="s">
        <v>289</v>
      </c>
      <c r="T14" s="134" t="s">
        <v>290</v>
      </c>
      <c r="U14" s="288"/>
      <c r="V14" s="133"/>
      <c r="W14" s="156"/>
      <c r="X14" s="157"/>
      <c r="Y14" s="157"/>
      <c r="Z14" s="157"/>
      <c r="AA14" s="157"/>
    </row>
    <row r="15" spans="1:29" s="57" customFormat="1" ht="240">
      <c r="A15" s="34"/>
      <c r="B15" s="34"/>
      <c r="C15" s="34"/>
      <c r="D15" s="34"/>
      <c r="E15" s="34"/>
      <c r="F15" s="34"/>
      <c r="G15" s="128" t="s">
        <v>1148</v>
      </c>
      <c r="H15" s="34"/>
      <c r="I15" s="34"/>
      <c r="J15" s="108" t="s">
        <v>106</v>
      </c>
      <c r="K15" s="133" t="s">
        <v>107</v>
      </c>
      <c r="L15" s="133" t="s">
        <v>291</v>
      </c>
      <c r="M15" s="53">
        <v>0.25</v>
      </c>
      <c r="N15" s="113">
        <v>1</v>
      </c>
      <c r="O15" s="53"/>
      <c r="P15" s="61"/>
      <c r="Q15" s="61"/>
      <c r="R15" s="61"/>
      <c r="S15" s="330" t="s">
        <v>292</v>
      </c>
      <c r="T15" s="134" t="s">
        <v>996</v>
      </c>
      <c r="U15" s="134" t="s">
        <v>409</v>
      </c>
      <c r="V15" s="133" t="s">
        <v>1053</v>
      </c>
      <c r="W15" s="156">
        <v>1</v>
      </c>
      <c r="X15" s="157"/>
      <c r="Y15" s="157"/>
      <c r="Z15" s="157"/>
      <c r="AA15" s="157"/>
    </row>
    <row r="16" spans="1:29" s="57" customFormat="1" ht="274.5" hidden="1" customHeight="1">
      <c r="A16" s="34"/>
      <c r="B16" s="34"/>
      <c r="C16" s="34"/>
      <c r="D16" s="34"/>
      <c r="E16" s="34"/>
      <c r="F16" s="34"/>
      <c r="G16" s="128" t="s">
        <v>1148</v>
      </c>
      <c r="H16" s="34"/>
      <c r="I16" s="34"/>
      <c r="J16" s="133"/>
      <c r="K16" s="133" t="s">
        <v>108</v>
      </c>
      <c r="L16" s="133" t="s">
        <v>293</v>
      </c>
      <c r="M16" s="53">
        <v>0.75</v>
      </c>
      <c r="N16" s="61"/>
      <c r="O16" s="53">
        <v>0.25</v>
      </c>
      <c r="P16" s="53">
        <v>0.25</v>
      </c>
      <c r="Q16" s="53">
        <v>0.25</v>
      </c>
      <c r="R16" s="53">
        <v>0.25</v>
      </c>
      <c r="S16" s="330"/>
      <c r="T16" s="134" t="s">
        <v>294</v>
      </c>
      <c r="U16" s="134" t="s">
        <v>295</v>
      </c>
      <c r="V16" s="133"/>
      <c r="W16" s="156"/>
      <c r="X16" s="157"/>
      <c r="Y16" s="157"/>
      <c r="Z16" s="157"/>
      <c r="AA16" s="157"/>
    </row>
    <row r="17" spans="1:28" s="57" customFormat="1" ht="159" customHeight="1">
      <c r="A17" s="34"/>
      <c r="B17" s="34"/>
      <c r="C17" s="133" t="s">
        <v>1587</v>
      </c>
      <c r="D17" s="63">
        <v>40909</v>
      </c>
      <c r="E17" s="63">
        <v>42705</v>
      </c>
      <c r="F17" s="134" t="s">
        <v>1331</v>
      </c>
      <c r="G17" s="128" t="s">
        <v>1148</v>
      </c>
      <c r="H17" s="133" t="s">
        <v>209</v>
      </c>
      <c r="I17" s="133" t="s">
        <v>394</v>
      </c>
      <c r="J17" s="108" t="s">
        <v>210</v>
      </c>
      <c r="K17" s="133" t="s">
        <v>211</v>
      </c>
      <c r="L17" s="133" t="s">
        <v>395</v>
      </c>
      <c r="M17" s="53">
        <v>1</v>
      </c>
      <c r="N17" s="113">
        <v>0.2</v>
      </c>
      <c r="O17" s="112">
        <v>0.2</v>
      </c>
      <c r="P17" s="53">
        <v>0.2</v>
      </c>
      <c r="Q17" s="53">
        <v>0.2</v>
      </c>
      <c r="R17" s="53">
        <v>0.2</v>
      </c>
      <c r="S17" s="134" t="s">
        <v>396</v>
      </c>
      <c r="T17" s="134" t="s">
        <v>397</v>
      </c>
      <c r="U17" s="134" t="s">
        <v>398</v>
      </c>
      <c r="V17" s="133"/>
      <c r="W17" s="156">
        <v>1</v>
      </c>
      <c r="X17" s="157"/>
      <c r="Y17" s="133" t="s">
        <v>1765</v>
      </c>
      <c r="Z17" s="157"/>
      <c r="AA17" s="157"/>
    </row>
    <row r="18" spans="1:28" s="57" customFormat="1" ht="409.5">
      <c r="A18" s="34"/>
      <c r="B18" s="34"/>
      <c r="C18" s="34"/>
      <c r="D18" s="34"/>
      <c r="E18" s="34"/>
      <c r="F18" s="34"/>
      <c r="G18" s="128" t="s">
        <v>1148</v>
      </c>
      <c r="H18" s="34"/>
      <c r="I18" s="34"/>
      <c r="J18" s="108" t="s">
        <v>212</v>
      </c>
      <c r="K18" s="133" t="s">
        <v>213</v>
      </c>
      <c r="L18" s="133" t="s">
        <v>399</v>
      </c>
      <c r="M18" s="53">
        <v>1</v>
      </c>
      <c r="N18" s="113">
        <v>0.2</v>
      </c>
      <c r="O18" s="112">
        <v>0.2</v>
      </c>
      <c r="P18" s="53">
        <v>0.2</v>
      </c>
      <c r="Q18" s="53">
        <v>0.2</v>
      </c>
      <c r="R18" s="53">
        <v>0.2</v>
      </c>
      <c r="S18" s="134" t="s">
        <v>400</v>
      </c>
      <c r="T18" s="134"/>
      <c r="U18" s="134" t="s">
        <v>401</v>
      </c>
      <c r="V18" s="133" t="s">
        <v>1092</v>
      </c>
      <c r="W18" s="53">
        <v>1</v>
      </c>
      <c r="X18" s="133"/>
      <c r="Y18" s="133" t="s">
        <v>1766</v>
      </c>
      <c r="Z18" s="157"/>
      <c r="AA18" s="157"/>
    </row>
    <row r="19" spans="1:28" s="57" customFormat="1" ht="126.75" customHeight="1">
      <c r="A19" s="34"/>
      <c r="B19" s="34"/>
      <c r="C19" s="133" t="s">
        <v>1588</v>
      </c>
      <c r="D19" s="63">
        <v>40909</v>
      </c>
      <c r="E19" s="63">
        <v>42705</v>
      </c>
      <c r="F19" s="133" t="s">
        <v>1168</v>
      </c>
      <c r="G19" s="128" t="s">
        <v>1148</v>
      </c>
      <c r="H19" s="133" t="s">
        <v>109</v>
      </c>
      <c r="I19" s="133" t="s">
        <v>724</v>
      </c>
      <c r="J19" s="108" t="s">
        <v>110</v>
      </c>
      <c r="K19" s="133" t="s">
        <v>111</v>
      </c>
      <c r="L19" s="133" t="s">
        <v>922</v>
      </c>
      <c r="M19" s="53">
        <v>0.25</v>
      </c>
      <c r="N19" s="53">
        <v>1</v>
      </c>
      <c r="O19" s="115"/>
      <c r="P19" s="34"/>
      <c r="Q19" s="34"/>
      <c r="R19" s="34"/>
      <c r="S19" s="133" t="s">
        <v>923</v>
      </c>
      <c r="T19" s="34"/>
      <c r="U19" s="288" t="s">
        <v>925</v>
      </c>
      <c r="V19" s="133"/>
      <c r="W19" s="53">
        <v>1</v>
      </c>
      <c r="X19" s="157"/>
      <c r="Y19" s="133" t="s">
        <v>1767</v>
      </c>
      <c r="Z19" s="157"/>
      <c r="AA19" s="157"/>
    </row>
    <row r="20" spans="1:28" s="57" customFormat="1" ht="90" hidden="1" customHeight="1">
      <c r="A20" s="34"/>
      <c r="B20" s="34"/>
      <c r="C20" s="34"/>
      <c r="D20" s="34"/>
      <c r="E20" s="34"/>
      <c r="F20" s="34"/>
      <c r="G20" s="128" t="s">
        <v>1148</v>
      </c>
      <c r="H20" s="133"/>
      <c r="I20" s="133"/>
      <c r="J20" s="133"/>
      <c r="K20" s="133" t="s">
        <v>112</v>
      </c>
      <c r="L20" s="133" t="s">
        <v>924</v>
      </c>
      <c r="M20" s="53">
        <v>0.75</v>
      </c>
      <c r="N20" s="73"/>
      <c r="O20" s="53">
        <v>0.25</v>
      </c>
      <c r="P20" s="53">
        <v>0.25</v>
      </c>
      <c r="Q20" s="53">
        <v>0.25</v>
      </c>
      <c r="R20" s="53">
        <v>0.25</v>
      </c>
      <c r="S20" s="133" t="s">
        <v>923</v>
      </c>
      <c r="T20" s="34"/>
      <c r="U20" s="288"/>
      <c r="V20" s="133"/>
      <c r="W20" s="156"/>
      <c r="X20" s="157"/>
      <c r="Y20" s="157"/>
      <c r="Z20" s="157"/>
      <c r="AA20" s="157"/>
    </row>
    <row r="21" spans="1:28" s="57" customFormat="1" ht="135">
      <c r="A21" s="34"/>
      <c r="B21" s="34"/>
      <c r="C21" s="34"/>
      <c r="D21" s="34"/>
      <c r="E21" s="34"/>
      <c r="F21" s="34"/>
      <c r="G21" s="128" t="s">
        <v>1148</v>
      </c>
      <c r="H21" s="34"/>
      <c r="I21" s="34"/>
      <c r="J21" s="133" t="s">
        <v>113</v>
      </c>
      <c r="K21" s="133" t="s">
        <v>114</v>
      </c>
      <c r="L21" s="133" t="s">
        <v>468</v>
      </c>
      <c r="M21" s="53">
        <v>0.25</v>
      </c>
      <c r="N21" s="113">
        <v>0.2</v>
      </c>
      <c r="O21" s="112">
        <v>0.2</v>
      </c>
      <c r="P21" s="53">
        <v>0.2</v>
      </c>
      <c r="Q21" s="53">
        <v>0.2</v>
      </c>
      <c r="R21" s="53">
        <v>0.2</v>
      </c>
      <c r="S21" s="288" t="s">
        <v>506</v>
      </c>
      <c r="T21" s="288" t="s">
        <v>574</v>
      </c>
      <c r="U21" s="288" t="s">
        <v>957</v>
      </c>
      <c r="V21" s="133" t="s">
        <v>1768</v>
      </c>
      <c r="W21" s="156">
        <v>1</v>
      </c>
      <c r="X21" s="157"/>
      <c r="Y21" s="133" t="s">
        <v>1769</v>
      </c>
      <c r="Z21" s="157"/>
      <c r="AA21" s="157"/>
    </row>
    <row r="22" spans="1:28" s="57" customFormat="1" ht="60">
      <c r="A22" s="34"/>
      <c r="B22" s="34"/>
      <c r="C22" s="34"/>
      <c r="D22" s="34"/>
      <c r="E22" s="34"/>
      <c r="F22" s="34"/>
      <c r="G22" s="128" t="s">
        <v>1148</v>
      </c>
      <c r="H22" s="34"/>
      <c r="I22" s="34"/>
      <c r="J22" s="34"/>
      <c r="K22" s="133" t="s">
        <v>115</v>
      </c>
      <c r="L22" s="133" t="s">
        <v>895</v>
      </c>
      <c r="M22" s="53">
        <v>0.25</v>
      </c>
      <c r="N22" s="53">
        <v>1</v>
      </c>
      <c r="O22" s="34"/>
      <c r="P22" s="34"/>
      <c r="Q22" s="34"/>
      <c r="R22" s="34"/>
      <c r="S22" s="303"/>
      <c r="T22" s="303"/>
      <c r="U22" s="303"/>
      <c r="V22" s="133"/>
      <c r="W22" s="53">
        <v>0</v>
      </c>
      <c r="X22" s="133" t="s">
        <v>1848</v>
      </c>
      <c r="Y22" s="157"/>
      <c r="Z22" s="157"/>
      <c r="AA22" s="179"/>
      <c r="AB22" s="125"/>
    </row>
    <row r="23" spans="1:28" s="57" customFormat="1" ht="45" hidden="1" customHeight="1">
      <c r="H23" s="65"/>
      <c r="I23" s="65"/>
      <c r="J23" s="65"/>
      <c r="K23" s="127" t="s">
        <v>116</v>
      </c>
      <c r="L23" s="127" t="s">
        <v>895</v>
      </c>
      <c r="M23" s="72">
        <v>0.5</v>
      </c>
      <c r="N23" s="65"/>
      <c r="O23" s="72">
        <v>0.25</v>
      </c>
      <c r="P23" s="72">
        <v>0.25</v>
      </c>
      <c r="Q23" s="72">
        <v>0.25</v>
      </c>
      <c r="R23" s="72">
        <v>0.25</v>
      </c>
      <c r="S23" s="329"/>
      <c r="T23" s="303"/>
      <c r="U23" s="303"/>
      <c r="V23" s="133"/>
      <c r="W23" s="156"/>
      <c r="X23" s="157"/>
      <c r="Y23" s="157"/>
      <c r="Z23" s="157"/>
      <c r="AA23" s="157"/>
    </row>
    <row r="24" spans="1:28" s="57" customFormat="1" ht="126" hidden="1" customHeight="1">
      <c r="A24" s="264" t="s">
        <v>1240</v>
      </c>
      <c r="B24" s="234" t="s">
        <v>1589</v>
      </c>
      <c r="C24" s="133" t="s">
        <v>1591</v>
      </c>
      <c r="D24" s="58">
        <v>40909</v>
      </c>
      <c r="E24" s="58">
        <v>42339</v>
      </c>
      <c r="F24" s="133" t="s">
        <v>1154</v>
      </c>
      <c r="G24" s="128" t="s">
        <v>1148</v>
      </c>
      <c r="H24" s="133" t="s">
        <v>1439</v>
      </c>
      <c r="I24" s="34"/>
      <c r="J24" s="108" t="s">
        <v>1440</v>
      </c>
      <c r="K24" s="133" t="s">
        <v>1441</v>
      </c>
      <c r="L24" s="133" t="s">
        <v>1319</v>
      </c>
      <c r="M24" s="53">
        <v>0.3</v>
      </c>
      <c r="N24" s="34"/>
      <c r="O24" s="53">
        <v>1</v>
      </c>
      <c r="P24" s="34"/>
      <c r="Q24" s="34"/>
      <c r="R24" s="34"/>
      <c r="S24" s="133" t="s">
        <v>1154</v>
      </c>
      <c r="T24" s="133" t="s">
        <v>1665</v>
      </c>
      <c r="U24" s="133" t="s">
        <v>1667</v>
      </c>
      <c r="V24" s="133"/>
      <c r="W24" s="156"/>
      <c r="X24" s="157"/>
      <c r="Y24" s="157"/>
      <c r="Z24" s="157"/>
      <c r="AA24" s="157"/>
    </row>
    <row r="25" spans="1:28" s="57" customFormat="1" ht="126" hidden="1" customHeight="1">
      <c r="A25" s="267"/>
      <c r="B25" s="269"/>
      <c r="C25" s="133"/>
      <c r="D25" s="58"/>
      <c r="E25" s="58"/>
      <c r="F25" s="133"/>
      <c r="G25" s="128"/>
      <c r="H25" s="34"/>
      <c r="I25" s="34"/>
      <c r="J25" s="133"/>
      <c r="K25" s="133" t="s">
        <v>1660</v>
      </c>
      <c r="L25" s="133" t="s">
        <v>1319</v>
      </c>
      <c r="M25" s="53">
        <v>0.5</v>
      </c>
      <c r="N25" s="34"/>
      <c r="O25" s="53"/>
      <c r="P25" s="53">
        <v>0.33</v>
      </c>
      <c r="Q25" s="53">
        <v>0.33</v>
      </c>
      <c r="R25" s="53">
        <v>0.34</v>
      </c>
      <c r="S25" s="133" t="s">
        <v>1154</v>
      </c>
      <c r="T25" s="133" t="s">
        <v>1665</v>
      </c>
      <c r="U25" s="133" t="s">
        <v>1667</v>
      </c>
      <c r="V25" s="127"/>
      <c r="W25" s="156"/>
      <c r="X25" s="157"/>
      <c r="Y25" s="157"/>
      <c r="Z25" s="157"/>
      <c r="AA25" s="157"/>
    </row>
    <row r="26" spans="1:28" s="57" customFormat="1" ht="133.5" hidden="1" customHeight="1">
      <c r="A26" s="269"/>
      <c r="B26" s="269"/>
      <c r="C26" s="133" t="s">
        <v>1590</v>
      </c>
      <c r="D26" s="63">
        <v>40909</v>
      </c>
      <c r="E26" s="63">
        <v>42339</v>
      </c>
      <c r="F26" s="133" t="s">
        <v>1154</v>
      </c>
      <c r="G26" s="128" t="s">
        <v>1148</v>
      </c>
      <c r="H26" s="34"/>
      <c r="I26" s="34"/>
      <c r="J26" s="133"/>
      <c r="K26" s="133" t="s">
        <v>1442</v>
      </c>
      <c r="L26" s="133" t="s">
        <v>1323</v>
      </c>
      <c r="M26" s="53">
        <v>0.1</v>
      </c>
      <c r="N26" s="34"/>
      <c r="O26" s="53">
        <v>1</v>
      </c>
      <c r="P26" s="34"/>
      <c r="Q26" s="34"/>
      <c r="R26" s="34"/>
      <c r="S26" s="133" t="s">
        <v>1154</v>
      </c>
      <c r="T26" s="133" t="s">
        <v>1665</v>
      </c>
      <c r="U26" s="133" t="s">
        <v>1667</v>
      </c>
      <c r="V26" s="133"/>
      <c r="W26" s="156"/>
      <c r="X26" s="157"/>
      <c r="Y26" s="157"/>
      <c r="Z26" s="157"/>
      <c r="AA26" s="157"/>
    </row>
    <row r="27" spans="1:28" s="57" customFormat="1" ht="121.5" hidden="1" customHeight="1">
      <c r="A27" s="270"/>
      <c r="B27" s="270"/>
      <c r="C27" s="133" t="s">
        <v>1592</v>
      </c>
      <c r="D27" s="63">
        <v>40909</v>
      </c>
      <c r="E27" s="63">
        <v>42339</v>
      </c>
      <c r="F27" s="127" t="s">
        <v>1154</v>
      </c>
      <c r="G27" s="128" t="s">
        <v>1148</v>
      </c>
      <c r="H27" s="65"/>
      <c r="I27" s="65"/>
      <c r="J27" s="133"/>
      <c r="K27" s="133" t="s">
        <v>1443</v>
      </c>
      <c r="L27" s="133" t="s">
        <v>1302</v>
      </c>
      <c r="M27" s="53">
        <v>0.1</v>
      </c>
      <c r="N27" s="34"/>
      <c r="O27" s="34"/>
      <c r="P27" s="53">
        <v>0.33</v>
      </c>
      <c r="Q27" s="53">
        <v>0.33</v>
      </c>
      <c r="R27" s="53">
        <v>0.34</v>
      </c>
      <c r="S27" s="127" t="s">
        <v>1154</v>
      </c>
      <c r="T27" s="133" t="s">
        <v>1665</v>
      </c>
      <c r="U27" s="133" t="s">
        <v>1667</v>
      </c>
      <c r="V27" s="133"/>
      <c r="W27" s="156"/>
      <c r="X27" s="157"/>
      <c r="Y27" s="157"/>
      <c r="Z27" s="157"/>
      <c r="AA27" s="157"/>
    </row>
    <row r="28" spans="1:28" s="57" customFormat="1" ht="150.75" hidden="1" customHeight="1">
      <c r="A28" s="264" t="s">
        <v>1240</v>
      </c>
      <c r="B28" s="234" t="s">
        <v>1593</v>
      </c>
      <c r="C28" s="133" t="s">
        <v>1594</v>
      </c>
      <c r="D28" s="63">
        <v>40909</v>
      </c>
      <c r="E28" s="63">
        <v>44896</v>
      </c>
      <c r="F28" s="133" t="s">
        <v>1160</v>
      </c>
      <c r="G28" s="128" t="s">
        <v>1148</v>
      </c>
      <c r="H28" s="133" t="s">
        <v>1444</v>
      </c>
      <c r="I28" s="34"/>
      <c r="J28" s="108" t="s">
        <v>1445</v>
      </c>
      <c r="K28" s="133" t="s">
        <v>1446</v>
      </c>
      <c r="L28" s="133" t="s">
        <v>1324</v>
      </c>
      <c r="M28" s="53">
        <v>0.3</v>
      </c>
      <c r="N28" s="34"/>
      <c r="O28" s="53">
        <v>1</v>
      </c>
      <c r="P28" s="34"/>
      <c r="Q28" s="34"/>
      <c r="R28" s="34"/>
      <c r="S28" s="133" t="s">
        <v>1160</v>
      </c>
      <c r="T28" s="133" t="s">
        <v>1666</v>
      </c>
      <c r="U28" s="133" t="s">
        <v>1667</v>
      </c>
      <c r="V28" s="133"/>
      <c r="W28" s="156"/>
      <c r="X28" s="157"/>
      <c r="Y28" s="157"/>
      <c r="Z28" s="157"/>
      <c r="AA28" s="157"/>
    </row>
    <row r="29" spans="1:28" s="57" customFormat="1" ht="114" hidden="1" customHeight="1">
      <c r="A29" s="267"/>
      <c r="B29" s="269"/>
      <c r="C29" s="133"/>
      <c r="D29" s="63"/>
      <c r="E29" s="63"/>
      <c r="F29" s="133"/>
      <c r="G29" s="128" t="s">
        <v>1148</v>
      </c>
      <c r="H29" s="34"/>
      <c r="I29" s="34"/>
      <c r="J29" s="133"/>
      <c r="K29" s="133" t="s">
        <v>1447</v>
      </c>
      <c r="L29" s="133" t="s">
        <v>1284</v>
      </c>
      <c r="M29" s="53">
        <v>0.5</v>
      </c>
      <c r="N29" s="34"/>
      <c r="O29" s="53"/>
      <c r="P29" s="53">
        <v>0.33</v>
      </c>
      <c r="Q29" s="53">
        <v>0.33</v>
      </c>
      <c r="R29" s="53">
        <v>0.34</v>
      </c>
      <c r="S29" s="133" t="s">
        <v>1160</v>
      </c>
      <c r="T29" s="133" t="s">
        <v>1666</v>
      </c>
      <c r="U29" s="133" t="s">
        <v>1667</v>
      </c>
      <c r="V29" s="133"/>
      <c r="W29" s="156"/>
      <c r="X29" s="157"/>
      <c r="Y29" s="157"/>
      <c r="Z29" s="157"/>
      <c r="AA29" s="157"/>
    </row>
    <row r="30" spans="1:28" s="57" customFormat="1" ht="105.75" hidden="1" customHeight="1">
      <c r="A30" s="267"/>
      <c r="B30" s="269"/>
      <c r="C30" s="133" t="s">
        <v>1595</v>
      </c>
      <c r="D30" s="63">
        <v>40909</v>
      </c>
      <c r="E30" s="63">
        <v>44896</v>
      </c>
      <c r="F30" s="133" t="s">
        <v>1160</v>
      </c>
      <c r="G30" s="128" t="s">
        <v>1148</v>
      </c>
      <c r="H30" s="34"/>
      <c r="I30" s="34"/>
      <c r="J30" s="133"/>
      <c r="K30" s="133" t="s">
        <v>1448</v>
      </c>
      <c r="L30" s="133" t="s">
        <v>1325</v>
      </c>
      <c r="M30" s="53">
        <v>0.1</v>
      </c>
      <c r="N30" s="34"/>
      <c r="O30" s="53"/>
      <c r="P30" s="53">
        <v>0.33</v>
      </c>
      <c r="Q30" s="53">
        <v>0.33</v>
      </c>
      <c r="R30" s="53">
        <v>0.34</v>
      </c>
      <c r="S30" s="133" t="s">
        <v>1160</v>
      </c>
      <c r="T30" s="133" t="s">
        <v>1666</v>
      </c>
      <c r="U30" s="133" t="s">
        <v>1667</v>
      </c>
      <c r="V30" s="133"/>
      <c r="W30" s="156"/>
      <c r="X30" s="157"/>
      <c r="Y30" s="157"/>
      <c r="Z30" s="157"/>
      <c r="AA30" s="157"/>
    </row>
    <row r="31" spans="1:28" s="57" customFormat="1" ht="142.5" customHeight="1">
      <c r="A31" s="267"/>
      <c r="B31" s="269"/>
      <c r="C31" s="133" t="s">
        <v>1596</v>
      </c>
      <c r="D31" s="63">
        <v>40909</v>
      </c>
      <c r="E31" s="63">
        <v>44896</v>
      </c>
      <c r="F31" s="133" t="s">
        <v>1160</v>
      </c>
      <c r="G31" s="128" t="s">
        <v>1148</v>
      </c>
      <c r="H31" s="34"/>
      <c r="I31" s="34"/>
      <c r="J31" s="133"/>
      <c r="K31" s="133" t="s">
        <v>1449</v>
      </c>
      <c r="L31" s="133" t="s">
        <v>1326</v>
      </c>
      <c r="M31" s="53">
        <v>0.1</v>
      </c>
      <c r="N31" s="53">
        <v>0.2</v>
      </c>
      <c r="O31" s="53">
        <v>0.2</v>
      </c>
      <c r="P31" s="53">
        <v>0.2</v>
      </c>
      <c r="Q31" s="53">
        <v>0.2</v>
      </c>
      <c r="R31" s="53">
        <v>0.2</v>
      </c>
      <c r="S31" s="133" t="s">
        <v>1160</v>
      </c>
      <c r="T31" s="133" t="s">
        <v>1666</v>
      </c>
      <c r="U31" s="133" t="s">
        <v>1667</v>
      </c>
      <c r="V31" s="201"/>
      <c r="W31" s="156">
        <v>1</v>
      </c>
      <c r="X31" s="157"/>
      <c r="Y31" s="157"/>
      <c r="Z31" s="157"/>
      <c r="AA31" s="157"/>
    </row>
    <row r="32" spans="1:28" s="57" customFormat="1" ht="200.25" hidden="1" customHeight="1">
      <c r="A32" s="269"/>
      <c r="B32" s="269"/>
      <c r="C32" s="133" t="s">
        <v>1597</v>
      </c>
      <c r="D32" s="63">
        <v>40909</v>
      </c>
      <c r="E32" s="63">
        <v>44896</v>
      </c>
      <c r="F32" s="133" t="s">
        <v>1160</v>
      </c>
      <c r="G32" s="128" t="s">
        <v>1148</v>
      </c>
      <c r="H32" s="34"/>
      <c r="I32" s="34"/>
      <c r="J32" s="108" t="s">
        <v>1450</v>
      </c>
      <c r="K32" s="133" t="s">
        <v>1451</v>
      </c>
      <c r="L32" s="133" t="s">
        <v>1327</v>
      </c>
      <c r="M32" s="53">
        <v>0.4</v>
      </c>
      <c r="N32" s="34"/>
      <c r="O32" s="53">
        <v>1</v>
      </c>
      <c r="P32" s="34"/>
      <c r="Q32" s="34"/>
      <c r="R32" s="34"/>
      <c r="S32" s="133" t="s">
        <v>1160</v>
      </c>
      <c r="T32" s="133" t="s">
        <v>1666</v>
      </c>
      <c r="U32" s="133" t="s">
        <v>1667</v>
      </c>
      <c r="V32" s="34"/>
      <c r="W32" s="53"/>
      <c r="X32" s="34"/>
      <c r="Y32" s="34"/>
      <c r="Z32" s="34"/>
      <c r="AA32" s="34"/>
    </row>
    <row r="33" spans="1:27" s="57" customFormat="1" ht="104.25" hidden="1" customHeight="1">
      <c r="A33" s="269"/>
      <c r="B33" s="269"/>
      <c r="C33" s="133"/>
      <c r="D33" s="63"/>
      <c r="E33" s="63"/>
      <c r="F33" s="133"/>
      <c r="G33" s="128" t="s">
        <v>1148</v>
      </c>
      <c r="H33" s="34"/>
      <c r="I33" s="34"/>
      <c r="J33" s="133"/>
      <c r="K33" s="133" t="s">
        <v>1452</v>
      </c>
      <c r="L33" s="133" t="s">
        <v>1328</v>
      </c>
      <c r="M33" s="53">
        <v>0.6</v>
      </c>
      <c r="N33" s="34"/>
      <c r="O33" s="53"/>
      <c r="P33" s="53">
        <v>0.33</v>
      </c>
      <c r="Q33" s="53">
        <v>0.33</v>
      </c>
      <c r="R33" s="53">
        <v>0.34</v>
      </c>
      <c r="S33" s="133" t="s">
        <v>1160</v>
      </c>
      <c r="T33" s="133" t="s">
        <v>1666</v>
      </c>
      <c r="U33" s="133" t="s">
        <v>1667</v>
      </c>
      <c r="V33" s="34"/>
      <c r="W33" s="53"/>
      <c r="X33" s="34"/>
      <c r="Y33" s="34"/>
      <c r="Z33" s="34"/>
      <c r="AA33" s="34"/>
    </row>
    <row r="34" spans="1:27" s="57" customFormat="1" ht="185.25" hidden="1" customHeight="1">
      <c r="A34" s="128" t="s">
        <v>1240</v>
      </c>
      <c r="B34" s="133" t="s">
        <v>1598</v>
      </c>
      <c r="C34" s="133" t="s">
        <v>1599</v>
      </c>
      <c r="D34" s="63">
        <v>40909</v>
      </c>
      <c r="E34" s="63">
        <v>44896</v>
      </c>
      <c r="F34" s="133" t="s">
        <v>1153</v>
      </c>
      <c r="G34" s="128" t="s">
        <v>1148</v>
      </c>
      <c r="H34" s="133" t="s">
        <v>1453</v>
      </c>
      <c r="I34" s="34"/>
      <c r="J34" s="108" t="s">
        <v>1454</v>
      </c>
      <c r="K34" s="133" t="s">
        <v>1455</v>
      </c>
      <c r="L34" s="133" t="s">
        <v>1287</v>
      </c>
      <c r="M34" s="53">
        <v>1</v>
      </c>
      <c r="N34" s="34"/>
      <c r="O34" s="34"/>
      <c r="P34" s="34"/>
      <c r="Q34" s="34"/>
      <c r="R34" s="53">
        <v>1</v>
      </c>
      <c r="S34" s="133" t="s">
        <v>1153</v>
      </c>
      <c r="T34" s="133" t="s">
        <v>1666</v>
      </c>
      <c r="U34" s="133" t="s">
        <v>1667</v>
      </c>
      <c r="V34" s="34"/>
      <c r="W34" s="53"/>
      <c r="X34" s="34"/>
      <c r="Y34" s="34"/>
      <c r="Z34" s="34"/>
      <c r="AA34" s="34"/>
    </row>
  </sheetData>
  <protectedRanges>
    <protectedRange sqref="Y17:Y18" name="Rango1_4_3"/>
    <protectedRange sqref="Y9" name="Rango1_4_1_1"/>
    <protectedRange sqref="Y10" name="Rango1_4_2_1"/>
  </protectedRanges>
  <autoFilter ref="S1:S26"/>
  <mergeCells count="40">
    <mergeCell ref="H1:T1"/>
    <mergeCell ref="H7:H8"/>
    <mergeCell ref="I7:I8"/>
    <mergeCell ref="J7:J8"/>
    <mergeCell ref="S7:S8"/>
    <mergeCell ref="T7:T8"/>
    <mergeCell ref="K7:K8"/>
    <mergeCell ref="L7:L8"/>
    <mergeCell ref="M7:M8"/>
    <mergeCell ref="N7:R7"/>
    <mergeCell ref="G6:U6"/>
    <mergeCell ref="G7:G8"/>
    <mergeCell ref="A6:F6"/>
    <mergeCell ref="U19:U20"/>
    <mergeCell ref="U7:U8"/>
    <mergeCell ref="S11:S12"/>
    <mergeCell ref="T11:T12"/>
    <mergeCell ref="U13:U14"/>
    <mergeCell ref="S15:S16"/>
    <mergeCell ref="A7:A8"/>
    <mergeCell ref="B7:B8"/>
    <mergeCell ref="C7:C8"/>
    <mergeCell ref="D7:E7"/>
    <mergeCell ref="F7:F8"/>
    <mergeCell ref="B24:B27"/>
    <mergeCell ref="B28:B33"/>
    <mergeCell ref="A28:A33"/>
    <mergeCell ref="A24:A27"/>
    <mergeCell ref="U21:U23"/>
    <mergeCell ref="S21:S23"/>
    <mergeCell ref="T21:T23"/>
    <mergeCell ref="V5:X5"/>
    <mergeCell ref="Y5:AA5"/>
    <mergeCell ref="W7:W8"/>
    <mergeCell ref="X7:X8"/>
    <mergeCell ref="Y7:Y8"/>
    <mergeCell ref="Z7:Z8"/>
    <mergeCell ref="AA7:AA8"/>
    <mergeCell ref="V6:X6"/>
    <mergeCell ref="Y6:AA6"/>
  </mergeCells>
  <phoneticPr fontId="7" type="noConversion"/>
  <printOptions horizontalCentered="1" verticalCentered="1"/>
  <pageMargins left="0.23622047244094491" right="0.19685039370078741" top="0.35433070866141736" bottom="0.31496062992125984" header="0.31496062992125984" footer="0.31496062992125984"/>
  <pageSetup scale="50" orientation="landscape" r:id="rId1"/>
</worksheet>
</file>

<file path=xl/worksheets/sheet7.xml><?xml version="1.0" encoding="utf-8"?>
<worksheet xmlns="http://schemas.openxmlformats.org/spreadsheetml/2006/main" xmlns:r="http://schemas.openxmlformats.org/officeDocument/2006/relationships">
  <dimension ref="A1:AB91"/>
  <sheetViews>
    <sheetView topLeftCell="G1" zoomScale="80" zoomScaleNormal="80" workbookViewId="0">
      <pane ySplit="9" topLeftCell="A67" activePane="bottomLeft" state="frozen"/>
      <selection pane="bottomLeft" activeCell="X67" sqref="X67:X69"/>
    </sheetView>
  </sheetViews>
  <sheetFormatPr baseColWidth="10" defaultRowHeight="15"/>
  <cols>
    <col min="1" max="1" width="20.28515625" style="31" hidden="1" customWidth="1"/>
    <col min="2" max="3" width="23.140625" style="31" hidden="1" customWidth="1"/>
    <col min="4" max="4" width="10.5703125" style="31" hidden="1" customWidth="1"/>
    <col min="5" max="5" width="9" style="31" hidden="1" customWidth="1"/>
    <col min="6" max="6" width="18.7109375" style="31" customWidth="1"/>
    <col min="7" max="7" width="20.5703125" style="31" customWidth="1"/>
    <col min="8" max="8" width="21.28515625" style="31" customWidth="1"/>
    <col min="9" max="9" width="25" style="31" customWidth="1"/>
    <col min="10" max="10" width="21.7109375" style="31" customWidth="1"/>
    <col min="11" max="11" width="21" style="31" customWidth="1"/>
    <col min="12" max="12" width="12.28515625" style="31" customWidth="1"/>
    <col min="13" max="14" width="8.42578125" style="31" customWidth="1"/>
    <col min="15" max="15" width="6.42578125" style="31" hidden="1" customWidth="1"/>
    <col min="16" max="16" width="6.85546875" style="31" hidden="1" customWidth="1"/>
    <col min="17" max="18" width="6.28515625" style="31" hidden="1" customWidth="1"/>
    <col min="19" max="19" width="16.42578125" style="31" customWidth="1"/>
    <col min="20" max="21" width="16.42578125" style="31" hidden="1" customWidth="1"/>
    <col min="22" max="22" width="16.42578125" style="31" customWidth="1"/>
    <col min="23" max="23" width="14.7109375" style="31" customWidth="1"/>
    <col min="24" max="24" width="15.85546875" style="31" customWidth="1"/>
    <col min="25" max="25" width="15.7109375" style="31" hidden="1" customWidth="1"/>
    <col min="26" max="26" width="17.140625" style="31" hidden="1" customWidth="1"/>
    <col min="27" max="27" width="0" style="31" hidden="1" customWidth="1"/>
    <col min="28" max="16384" width="11.42578125" style="31"/>
  </cols>
  <sheetData>
    <row r="1" spans="1:28">
      <c r="V1" s="143"/>
      <c r="W1" s="146"/>
    </row>
    <row r="2" spans="1:28" ht="23.25">
      <c r="B2" s="147"/>
      <c r="C2" s="147"/>
      <c r="D2" s="147"/>
      <c r="E2" s="147"/>
      <c r="F2" s="145" t="s">
        <v>706</v>
      </c>
      <c r="G2" s="147"/>
      <c r="H2" s="147"/>
      <c r="I2" s="147"/>
      <c r="J2" s="147"/>
      <c r="K2" s="147"/>
      <c r="L2" s="147"/>
      <c r="M2" s="147"/>
      <c r="N2" s="147"/>
      <c r="O2" s="147"/>
      <c r="P2" s="147"/>
      <c r="Q2" s="147"/>
      <c r="R2" s="147"/>
      <c r="S2" s="147"/>
      <c r="T2" s="147"/>
      <c r="U2" s="187"/>
      <c r="V2" s="143"/>
      <c r="W2" s="146"/>
    </row>
    <row r="3" spans="1:28" ht="23.25">
      <c r="B3" s="147"/>
      <c r="C3" s="147"/>
      <c r="D3" s="147"/>
      <c r="E3" s="147"/>
      <c r="F3" s="145" t="s">
        <v>1855</v>
      </c>
      <c r="G3" s="147"/>
      <c r="H3" s="147"/>
      <c r="I3" s="147"/>
      <c r="J3" s="147"/>
      <c r="K3" s="147"/>
      <c r="L3" s="147"/>
      <c r="M3" s="147"/>
      <c r="N3" s="147"/>
      <c r="O3" s="147"/>
      <c r="P3" s="147"/>
      <c r="Q3" s="147"/>
      <c r="R3" s="147"/>
      <c r="S3" s="147"/>
      <c r="T3" s="147"/>
      <c r="U3" s="187"/>
      <c r="V3" s="143"/>
      <c r="W3" s="146"/>
    </row>
    <row r="4" spans="1:28" ht="23.25">
      <c r="B4" s="147"/>
      <c r="C4" s="147"/>
      <c r="D4" s="147"/>
      <c r="E4" s="147"/>
      <c r="F4" s="145" t="s">
        <v>1854</v>
      </c>
      <c r="G4" s="147"/>
      <c r="H4" s="147"/>
      <c r="I4" s="147"/>
      <c r="J4" s="147"/>
      <c r="K4" s="147"/>
      <c r="L4" s="147"/>
      <c r="M4" s="147"/>
      <c r="N4" s="147"/>
      <c r="O4" s="147"/>
      <c r="P4" s="147"/>
      <c r="Q4" s="147"/>
      <c r="R4" s="147"/>
      <c r="S4" s="147"/>
      <c r="T4" s="147"/>
      <c r="U4" s="187"/>
      <c r="V4" s="146"/>
      <c r="W4" s="146"/>
    </row>
    <row r="5" spans="1:28" ht="23.25">
      <c r="B5" s="32"/>
      <c r="C5" s="32"/>
      <c r="D5" s="32"/>
      <c r="E5" s="32"/>
      <c r="F5" s="145" t="s">
        <v>708</v>
      </c>
      <c r="G5" s="32"/>
      <c r="H5" s="32"/>
      <c r="I5" s="32"/>
      <c r="J5" s="32"/>
      <c r="K5" s="32"/>
      <c r="L5" s="32"/>
      <c r="M5" s="32"/>
      <c r="N5" s="32"/>
      <c r="O5" s="32"/>
      <c r="P5" s="32"/>
      <c r="Q5" s="32"/>
      <c r="R5" s="32"/>
      <c r="S5" s="32"/>
      <c r="T5" s="32"/>
      <c r="U5" s="32"/>
      <c r="V5" s="202"/>
    </row>
    <row r="6" spans="1:28" ht="21">
      <c r="H6" s="291" t="s">
        <v>708</v>
      </c>
      <c r="I6" s="291"/>
      <c r="J6" s="291"/>
      <c r="K6" s="291"/>
      <c r="L6" s="291"/>
      <c r="M6" s="291"/>
      <c r="N6" s="291"/>
      <c r="O6" s="291"/>
      <c r="P6" s="291"/>
      <c r="Q6" s="291"/>
      <c r="R6" s="291"/>
      <c r="S6" s="291"/>
      <c r="T6" s="291"/>
      <c r="V6" s="328" t="s">
        <v>1690</v>
      </c>
      <c r="W6" s="284"/>
      <c r="X6" s="284"/>
      <c r="Y6" s="285" t="s">
        <v>1690</v>
      </c>
      <c r="Z6" s="285"/>
      <c r="AA6" s="285"/>
    </row>
    <row r="7" spans="1:28">
      <c r="A7" s="292" t="s">
        <v>1102</v>
      </c>
      <c r="B7" s="292"/>
      <c r="C7" s="292"/>
      <c r="D7" s="292"/>
      <c r="E7" s="292"/>
      <c r="F7" s="292"/>
      <c r="G7" s="247" t="s">
        <v>1114</v>
      </c>
      <c r="H7" s="248"/>
      <c r="I7" s="248"/>
      <c r="J7" s="248"/>
      <c r="K7" s="248"/>
      <c r="L7" s="248"/>
      <c r="M7" s="248"/>
      <c r="N7" s="248"/>
      <c r="O7" s="248"/>
      <c r="P7" s="248"/>
      <c r="Q7" s="248"/>
      <c r="R7" s="248"/>
      <c r="S7" s="248"/>
      <c r="T7" s="248"/>
      <c r="U7" s="248"/>
      <c r="V7" s="247" t="s">
        <v>1706</v>
      </c>
      <c r="W7" s="248"/>
      <c r="X7" s="249"/>
      <c r="Y7" s="247" t="s">
        <v>1691</v>
      </c>
      <c r="Z7" s="248"/>
      <c r="AA7" s="249"/>
    </row>
    <row r="8" spans="1:28" ht="15" customHeight="1">
      <c r="A8" s="258" t="s">
        <v>1236</v>
      </c>
      <c r="B8" s="258" t="s">
        <v>703</v>
      </c>
      <c r="C8" s="258" t="s">
        <v>700</v>
      </c>
      <c r="D8" s="294" t="s">
        <v>701</v>
      </c>
      <c r="E8" s="295"/>
      <c r="F8" s="258" t="s">
        <v>704</v>
      </c>
      <c r="G8" s="256" t="s">
        <v>711</v>
      </c>
      <c r="H8" s="256" t="s">
        <v>703</v>
      </c>
      <c r="I8" s="256" t="s">
        <v>698</v>
      </c>
      <c r="J8" s="256" t="s">
        <v>699</v>
      </c>
      <c r="K8" s="256" t="s">
        <v>702</v>
      </c>
      <c r="L8" s="257" t="s">
        <v>700</v>
      </c>
      <c r="M8" s="289" t="s">
        <v>451</v>
      </c>
      <c r="N8" s="331" t="s">
        <v>701</v>
      </c>
      <c r="O8" s="332"/>
      <c r="P8" s="332"/>
      <c r="Q8" s="332"/>
      <c r="R8" s="333"/>
      <c r="S8" s="289" t="s">
        <v>704</v>
      </c>
      <c r="T8" s="289" t="s">
        <v>718</v>
      </c>
      <c r="U8" s="289" t="s">
        <v>728</v>
      </c>
      <c r="V8" s="250" t="s">
        <v>1021</v>
      </c>
      <c r="W8" s="250" t="s">
        <v>1693</v>
      </c>
      <c r="X8" s="250" t="s">
        <v>1707</v>
      </c>
      <c r="Y8" s="245" t="s">
        <v>1692</v>
      </c>
      <c r="Z8" s="245" t="s">
        <v>1722</v>
      </c>
      <c r="AA8" s="245" t="s">
        <v>1694</v>
      </c>
    </row>
    <row r="9" spans="1:28" ht="53.25" customHeight="1">
      <c r="A9" s="293"/>
      <c r="B9" s="293"/>
      <c r="C9" s="293"/>
      <c r="D9" s="33" t="s">
        <v>1107</v>
      </c>
      <c r="E9" s="33" t="s">
        <v>1108</v>
      </c>
      <c r="F9" s="293"/>
      <c r="G9" s="256"/>
      <c r="H9" s="256"/>
      <c r="I9" s="256" t="s">
        <v>698</v>
      </c>
      <c r="J9" s="256"/>
      <c r="K9" s="256"/>
      <c r="L9" s="307"/>
      <c r="M9" s="290"/>
      <c r="N9" s="171">
        <v>2012</v>
      </c>
      <c r="O9" s="171">
        <v>2013</v>
      </c>
      <c r="P9" s="171">
        <v>2014</v>
      </c>
      <c r="Q9" s="171">
        <v>2015</v>
      </c>
      <c r="R9" s="171">
        <v>2016</v>
      </c>
      <c r="S9" s="290" t="s">
        <v>704</v>
      </c>
      <c r="T9" s="290"/>
      <c r="U9" s="290"/>
      <c r="V9" s="251"/>
      <c r="W9" s="306"/>
      <c r="X9" s="306"/>
      <c r="Y9" s="251"/>
      <c r="Z9" s="251" t="s">
        <v>1021</v>
      </c>
      <c r="AA9" s="251" t="s">
        <v>1021</v>
      </c>
    </row>
    <row r="10" spans="1:28" s="57" customFormat="1" ht="135">
      <c r="A10" s="234" t="s">
        <v>1348</v>
      </c>
      <c r="B10" s="133" t="s">
        <v>1600</v>
      </c>
      <c r="C10" s="133" t="s">
        <v>1601</v>
      </c>
      <c r="D10" s="63">
        <v>40909</v>
      </c>
      <c r="E10" s="63">
        <v>42705</v>
      </c>
      <c r="F10" s="133" t="s">
        <v>968</v>
      </c>
      <c r="G10" s="128" t="s">
        <v>716</v>
      </c>
      <c r="H10" s="133" t="s">
        <v>117</v>
      </c>
      <c r="I10" s="133" t="s">
        <v>705</v>
      </c>
      <c r="J10" s="108" t="s">
        <v>118</v>
      </c>
      <c r="K10" s="133" t="s">
        <v>119</v>
      </c>
      <c r="L10" s="133" t="s">
        <v>967</v>
      </c>
      <c r="M10" s="53">
        <v>0.25</v>
      </c>
      <c r="N10" s="113">
        <v>1</v>
      </c>
      <c r="O10" s="61"/>
      <c r="P10" s="61"/>
      <c r="Q10" s="61"/>
      <c r="R10" s="61"/>
      <c r="S10" s="133" t="s">
        <v>968</v>
      </c>
      <c r="T10" s="133" t="s">
        <v>969</v>
      </c>
      <c r="U10" s="133" t="s">
        <v>970</v>
      </c>
      <c r="V10" s="136" t="s">
        <v>1054</v>
      </c>
      <c r="W10" s="156">
        <v>1</v>
      </c>
      <c r="X10" s="157"/>
      <c r="Y10" s="136"/>
      <c r="Z10" s="157"/>
      <c r="AA10" s="157"/>
      <c r="AB10" s="31"/>
    </row>
    <row r="11" spans="1:28" s="57" customFormat="1" ht="105" hidden="1" customHeight="1">
      <c r="A11" s="237"/>
      <c r="B11" s="34"/>
      <c r="C11" s="34"/>
      <c r="D11" s="34"/>
      <c r="E11" s="34"/>
      <c r="F11" s="34"/>
      <c r="G11" s="34"/>
      <c r="H11" s="34"/>
      <c r="I11" s="34"/>
      <c r="J11" s="110"/>
      <c r="K11" s="133" t="s">
        <v>120</v>
      </c>
      <c r="L11" s="133" t="s">
        <v>971</v>
      </c>
      <c r="M11" s="53">
        <v>0.5</v>
      </c>
      <c r="N11" s="114"/>
      <c r="O11" s="53">
        <v>1</v>
      </c>
      <c r="P11" s="61"/>
      <c r="Q11" s="61"/>
      <c r="R11" s="61"/>
      <c r="S11" s="133" t="s">
        <v>972</v>
      </c>
      <c r="T11" s="133" t="s">
        <v>973</v>
      </c>
      <c r="U11" s="133" t="s">
        <v>974</v>
      </c>
      <c r="V11" s="157"/>
      <c r="W11" s="156"/>
      <c r="X11" s="157"/>
      <c r="Y11" s="136" t="s">
        <v>1770</v>
      </c>
      <c r="Z11" s="157"/>
      <c r="AA11" s="157"/>
      <c r="AB11" s="31"/>
    </row>
    <row r="12" spans="1:28" s="57" customFormat="1" ht="110.25" hidden="1" customHeight="1">
      <c r="A12" s="237"/>
      <c r="B12" s="34"/>
      <c r="C12" s="34"/>
      <c r="D12" s="34"/>
      <c r="E12" s="34"/>
      <c r="F12" s="34"/>
      <c r="G12" s="34"/>
      <c r="H12" s="34"/>
      <c r="I12" s="34"/>
      <c r="J12" s="108"/>
      <c r="K12" s="133" t="s">
        <v>121</v>
      </c>
      <c r="L12" s="133" t="s">
        <v>975</v>
      </c>
      <c r="M12" s="53">
        <v>0.25</v>
      </c>
      <c r="N12" s="114"/>
      <c r="O12" s="61"/>
      <c r="P12" s="53">
        <v>1</v>
      </c>
      <c r="Q12" s="61"/>
      <c r="R12" s="61"/>
      <c r="S12" s="133" t="s">
        <v>976</v>
      </c>
      <c r="T12" s="34"/>
      <c r="U12" s="133" t="s">
        <v>977</v>
      </c>
      <c r="V12" s="157"/>
      <c r="W12" s="156"/>
      <c r="X12" s="157"/>
      <c r="Y12" s="157" t="s">
        <v>1716</v>
      </c>
      <c r="Z12" s="157"/>
      <c r="AA12" s="157"/>
      <c r="AB12" s="31"/>
    </row>
    <row r="13" spans="1:28" s="57" customFormat="1" ht="300">
      <c r="A13" s="238"/>
      <c r="B13" s="34"/>
      <c r="C13" s="34"/>
      <c r="D13" s="34"/>
      <c r="E13" s="34"/>
      <c r="F13" s="34"/>
      <c r="G13" s="128" t="s">
        <v>716</v>
      </c>
      <c r="H13" s="34"/>
      <c r="I13" s="34"/>
      <c r="J13" s="108" t="s">
        <v>122</v>
      </c>
      <c r="K13" s="133" t="s">
        <v>123</v>
      </c>
      <c r="L13" s="133" t="s">
        <v>421</v>
      </c>
      <c r="M13" s="53">
        <v>0.25</v>
      </c>
      <c r="N13" s="113">
        <v>0.2</v>
      </c>
      <c r="O13" s="53">
        <v>0.2</v>
      </c>
      <c r="P13" s="53">
        <v>0.2</v>
      </c>
      <c r="Q13" s="53">
        <v>0.2</v>
      </c>
      <c r="R13" s="53">
        <v>0.2</v>
      </c>
      <c r="S13" s="127" t="s">
        <v>992</v>
      </c>
      <c r="T13" s="127" t="s">
        <v>993</v>
      </c>
      <c r="U13" s="127" t="s">
        <v>994</v>
      </c>
      <c r="V13" s="203" t="s">
        <v>1055</v>
      </c>
      <c r="W13" s="156">
        <v>1</v>
      </c>
      <c r="X13" s="157"/>
      <c r="Y13" s="79"/>
      <c r="Z13" s="157"/>
      <c r="AA13" s="157"/>
      <c r="AB13" s="31"/>
    </row>
    <row r="14" spans="1:28" s="57" customFormat="1" ht="180" customHeight="1">
      <c r="A14" s="34"/>
      <c r="B14" s="34"/>
      <c r="C14" s="34"/>
      <c r="D14" s="34"/>
      <c r="E14" s="34"/>
      <c r="F14" s="34"/>
      <c r="G14" s="128" t="s">
        <v>716</v>
      </c>
      <c r="H14" s="34"/>
      <c r="I14" s="34"/>
      <c r="J14" s="133"/>
      <c r="K14" s="133" t="s">
        <v>124</v>
      </c>
      <c r="L14" s="75" t="s">
        <v>419</v>
      </c>
      <c r="M14" s="53">
        <v>0.25</v>
      </c>
      <c r="N14" s="113">
        <v>0.2</v>
      </c>
      <c r="O14" s="53">
        <v>0.2</v>
      </c>
      <c r="P14" s="53">
        <v>0.2</v>
      </c>
      <c r="Q14" s="53">
        <v>0.2</v>
      </c>
      <c r="R14" s="53">
        <v>0.2</v>
      </c>
      <c r="S14" s="127" t="s">
        <v>995</v>
      </c>
      <c r="T14" s="127" t="s">
        <v>996</v>
      </c>
      <c r="U14" s="127" t="s">
        <v>997</v>
      </c>
      <c r="V14" s="203" t="s">
        <v>1056</v>
      </c>
      <c r="W14" s="156">
        <v>1</v>
      </c>
      <c r="X14" s="157"/>
      <c r="Y14" s="116"/>
      <c r="Z14" s="157"/>
      <c r="AA14" s="157"/>
      <c r="AB14" s="31"/>
    </row>
    <row r="15" spans="1:28" s="57" customFormat="1" ht="201" customHeight="1">
      <c r="A15" s="34"/>
      <c r="B15" s="34"/>
      <c r="C15" s="34"/>
      <c r="D15" s="34"/>
      <c r="E15" s="34"/>
      <c r="F15" s="34"/>
      <c r="G15" s="128" t="s">
        <v>716</v>
      </c>
      <c r="H15" s="34"/>
      <c r="I15" s="34"/>
      <c r="J15" s="133"/>
      <c r="K15" s="133" t="s">
        <v>125</v>
      </c>
      <c r="L15" s="133" t="s">
        <v>998</v>
      </c>
      <c r="M15" s="53">
        <v>0.25</v>
      </c>
      <c r="N15" s="53">
        <v>1</v>
      </c>
      <c r="O15" s="61"/>
      <c r="P15" s="53"/>
      <c r="Q15" s="61"/>
      <c r="R15" s="61"/>
      <c r="S15" s="127" t="s">
        <v>999</v>
      </c>
      <c r="T15" s="65" t="s">
        <v>996</v>
      </c>
      <c r="U15" s="127" t="s">
        <v>1000</v>
      </c>
      <c r="V15" s="34"/>
      <c r="W15" s="156">
        <v>0</v>
      </c>
      <c r="X15" s="127" t="s">
        <v>1832</v>
      </c>
      <c r="Y15" s="157"/>
      <c r="Z15" s="157"/>
      <c r="AA15" s="157"/>
      <c r="AB15" s="31"/>
    </row>
    <row r="16" spans="1:28" s="57" customFormat="1" ht="204" customHeight="1">
      <c r="A16" s="34"/>
      <c r="B16" s="34"/>
      <c r="C16" s="34"/>
      <c r="D16" s="34"/>
      <c r="E16" s="34"/>
      <c r="F16" s="34"/>
      <c r="G16" s="128" t="s">
        <v>716</v>
      </c>
      <c r="H16" s="34"/>
      <c r="I16" s="34"/>
      <c r="J16" s="133"/>
      <c r="K16" s="133" t="s">
        <v>126</v>
      </c>
      <c r="L16" s="71" t="s">
        <v>1001</v>
      </c>
      <c r="M16" s="53">
        <v>0.25</v>
      </c>
      <c r="N16" s="53">
        <v>0.2</v>
      </c>
      <c r="O16" s="112">
        <v>0.2</v>
      </c>
      <c r="P16" s="53">
        <v>0.2</v>
      </c>
      <c r="Q16" s="53">
        <v>0.2</v>
      </c>
      <c r="R16" s="53">
        <v>0.2</v>
      </c>
      <c r="S16" s="127" t="s">
        <v>1002</v>
      </c>
      <c r="T16" s="127" t="s">
        <v>1003</v>
      </c>
      <c r="U16" s="127" t="s">
        <v>1004</v>
      </c>
      <c r="V16" s="34"/>
      <c r="W16" s="53">
        <v>1</v>
      </c>
      <c r="X16" s="157"/>
      <c r="Y16" s="136" t="s">
        <v>1771</v>
      </c>
      <c r="Z16" s="157"/>
      <c r="AA16" s="157"/>
      <c r="AB16" s="31"/>
    </row>
    <row r="17" spans="1:28" s="57" customFormat="1" ht="184.5" customHeight="1">
      <c r="A17" s="34"/>
      <c r="B17" s="34"/>
      <c r="C17" s="34"/>
      <c r="D17" s="34"/>
      <c r="E17" s="34"/>
      <c r="F17" s="34"/>
      <c r="G17" s="128" t="s">
        <v>716</v>
      </c>
      <c r="H17" s="34"/>
      <c r="I17" s="34"/>
      <c r="J17" s="108" t="s">
        <v>127</v>
      </c>
      <c r="K17" s="133" t="s">
        <v>128</v>
      </c>
      <c r="L17" s="71" t="s">
        <v>362</v>
      </c>
      <c r="M17" s="53">
        <v>0.5</v>
      </c>
      <c r="N17" s="53"/>
      <c r="O17" s="112">
        <v>0.25</v>
      </c>
      <c r="P17" s="53">
        <v>0.25</v>
      </c>
      <c r="Q17" s="53">
        <v>0.25</v>
      </c>
      <c r="R17" s="53">
        <v>0.25</v>
      </c>
      <c r="S17" s="234" t="s">
        <v>363</v>
      </c>
      <c r="T17" s="234" t="s">
        <v>364</v>
      </c>
      <c r="U17" s="234" t="s">
        <v>365</v>
      </c>
      <c r="V17" s="203" t="s">
        <v>1057</v>
      </c>
      <c r="W17" s="156">
        <v>1</v>
      </c>
      <c r="X17" s="157"/>
      <c r="Y17" s="133" t="s">
        <v>1772</v>
      </c>
      <c r="Z17" s="157"/>
      <c r="AA17" s="157"/>
      <c r="AB17" s="31"/>
    </row>
    <row r="18" spans="1:28" s="57" customFormat="1" ht="60" hidden="1" customHeight="1">
      <c r="A18" s="34"/>
      <c r="B18" s="34"/>
      <c r="C18" s="34"/>
      <c r="D18" s="34"/>
      <c r="E18" s="34"/>
      <c r="F18" s="34"/>
      <c r="G18" s="128" t="s">
        <v>716</v>
      </c>
      <c r="H18" s="34"/>
      <c r="I18" s="34"/>
      <c r="J18" s="108" t="s">
        <v>418</v>
      </c>
      <c r="K18" s="133" t="s">
        <v>129</v>
      </c>
      <c r="L18" s="71" t="s">
        <v>366</v>
      </c>
      <c r="M18" s="53">
        <v>0.25</v>
      </c>
      <c r="N18" s="53"/>
      <c r="O18" s="53">
        <v>1</v>
      </c>
      <c r="P18" s="53"/>
      <c r="Q18" s="53"/>
      <c r="R18" s="53"/>
      <c r="S18" s="269"/>
      <c r="T18" s="269"/>
      <c r="U18" s="269"/>
      <c r="V18" s="157"/>
      <c r="W18" s="156"/>
      <c r="X18" s="157"/>
      <c r="Y18" s="116"/>
      <c r="Z18" s="157"/>
      <c r="AA18" s="157"/>
      <c r="AB18" s="31"/>
    </row>
    <row r="19" spans="1:28" s="57" customFormat="1" ht="91.5" hidden="1" customHeight="1">
      <c r="A19" s="34"/>
      <c r="B19" s="34"/>
      <c r="C19" s="34"/>
      <c r="D19" s="34"/>
      <c r="E19" s="34"/>
      <c r="F19" s="34"/>
      <c r="G19" s="128" t="s">
        <v>716</v>
      </c>
      <c r="H19" s="34"/>
      <c r="I19" s="34"/>
      <c r="J19" s="108"/>
      <c r="K19" s="133" t="s">
        <v>130</v>
      </c>
      <c r="L19" s="71" t="s">
        <v>367</v>
      </c>
      <c r="M19" s="53">
        <v>0.25</v>
      </c>
      <c r="N19" s="53"/>
      <c r="O19" s="53">
        <v>1</v>
      </c>
      <c r="P19" s="53"/>
      <c r="Q19" s="53"/>
      <c r="R19" s="53"/>
      <c r="S19" s="270"/>
      <c r="T19" s="270"/>
      <c r="U19" s="270"/>
      <c r="V19" s="157"/>
      <c r="W19" s="156"/>
      <c r="X19" s="157"/>
      <c r="Y19" s="116"/>
      <c r="Z19" s="157"/>
      <c r="AA19" s="157"/>
      <c r="AB19" s="31"/>
    </row>
    <row r="20" spans="1:28" s="57" customFormat="1" ht="165">
      <c r="A20" s="34"/>
      <c r="B20" s="34"/>
      <c r="C20" s="34"/>
      <c r="D20" s="34"/>
      <c r="E20" s="34"/>
      <c r="F20" s="34"/>
      <c r="G20" s="128" t="s">
        <v>716</v>
      </c>
      <c r="H20" s="34"/>
      <c r="I20" s="34"/>
      <c r="J20" s="108" t="s">
        <v>131</v>
      </c>
      <c r="K20" s="133" t="s">
        <v>132</v>
      </c>
      <c r="L20" s="133" t="s">
        <v>980</v>
      </c>
      <c r="M20" s="53">
        <v>0.25</v>
      </c>
      <c r="N20" s="53">
        <v>1</v>
      </c>
      <c r="O20" s="61"/>
      <c r="P20" s="61"/>
      <c r="Q20" s="61"/>
      <c r="R20" s="61"/>
      <c r="S20" s="234" t="s">
        <v>986</v>
      </c>
      <c r="T20" s="234" t="s">
        <v>987</v>
      </c>
      <c r="U20" s="234" t="s">
        <v>989</v>
      </c>
      <c r="V20" s="203" t="s">
        <v>1058</v>
      </c>
      <c r="W20" s="156">
        <v>1</v>
      </c>
      <c r="X20" s="157"/>
      <c r="Y20" s="157"/>
      <c r="Z20" s="157"/>
      <c r="AA20" s="157"/>
      <c r="AB20" s="31"/>
    </row>
    <row r="21" spans="1:28" s="57" customFormat="1" ht="120" hidden="1" customHeight="1">
      <c r="A21" s="34"/>
      <c r="B21" s="34"/>
      <c r="C21" s="34"/>
      <c r="D21" s="34"/>
      <c r="E21" s="34"/>
      <c r="F21" s="34"/>
      <c r="G21" s="128" t="s">
        <v>716</v>
      </c>
      <c r="H21" s="65"/>
      <c r="I21" s="65"/>
      <c r="J21" s="108"/>
      <c r="K21" s="133" t="s">
        <v>133</v>
      </c>
      <c r="L21" s="133" t="s">
        <v>983</v>
      </c>
      <c r="M21" s="53">
        <v>0.25</v>
      </c>
      <c r="N21" s="61"/>
      <c r="O21" s="53">
        <v>1</v>
      </c>
      <c r="P21" s="61"/>
      <c r="Q21" s="61"/>
      <c r="R21" s="61"/>
      <c r="S21" s="322"/>
      <c r="T21" s="322"/>
      <c r="U21" s="269"/>
      <c r="V21" s="157"/>
      <c r="W21" s="156"/>
      <c r="X21" s="157"/>
      <c r="Y21" s="234" t="s">
        <v>1773</v>
      </c>
      <c r="Z21" s="157"/>
      <c r="AA21" s="157"/>
      <c r="AB21" s="31"/>
    </row>
    <row r="22" spans="1:28" s="57" customFormat="1" ht="60" hidden="1" customHeight="1">
      <c r="A22" s="34"/>
      <c r="B22" s="34"/>
      <c r="C22" s="34"/>
      <c r="D22" s="34"/>
      <c r="E22" s="34"/>
      <c r="F22" s="34"/>
      <c r="G22" s="128" t="s">
        <v>716</v>
      </c>
      <c r="H22" s="65"/>
      <c r="I22" s="65"/>
      <c r="J22" s="108"/>
      <c r="K22" s="133" t="s">
        <v>134</v>
      </c>
      <c r="L22" s="133" t="s">
        <v>988</v>
      </c>
      <c r="M22" s="53">
        <v>0.5</v>
      </c>
      <c r="N22" s="61"/>
      <c r="O22" s="53">
        <v>1</v>
      </c>
      <c r="P22" s="53"/>
      <c r="Q22" s="61"/>
      <c r="R22" s="61"/>
      <c r="S22" s="299"/>
      <c r="T22" s="299"/>
      <c r="U22" s="270"/>
      <c r="V22" s="157"/>
      <c r="W22" s="156"/>
      <c r="X22" s="157"/>
      <c r="Y22" s="270"/>
      <c r="Z22" s="157"/>
      <c r="AA22" s="157"/>
      <c r="AB22" s="31"/>
    </row>
    <row r="23" spans="1:28" s="57" customFormat="1" ht="225">
      <c r="A23" s="34"/>
      <c r="B23" s="34"/>
      <c r="C23" s="34"/>
      <c r="D23" s="34"/>
      <c r="E23" s="34"/>
      <c r="F23" s="34"/>
      <c r="G23" s="128" t="s">
        <v>716</v>
      </c>
      <c r="H23" s="65"/>
      <c r="I23" s="65"/>
      <c r="J23" s="108" t="s">
        <v>135</v>
      </c>
      <c r="K23" s="133" t="s">
        <v>136</v>
      </c>
      <c r="L23" s="133" t="s">
        <v>312</v>
      </c>
      <c r="M23" s="53">
        <v>1</v>
      </c>
      <c r="N23" s="113">
        <v>0.2</v>
      </c>
      <c r="O23" s="112">
        <v>0.2</v>
      </c>
      <c r="P23" s="53">
        <v>0.2</v>
      </c>
      <c r="Q23" s="53">
        <v>0.2</v>
      </c>
      <c r="R23" s="53">
        <v>0.2</v>
      </c>
      <c r="S23" s="133" t="s">
        <v>313</v>
      </c>
      <c r="T23" s="133" t="s">
        <v>314</v>
      </c>
      <c r="U23" s="133" t="s">
        <v>315</v>
      </c>
      <c r="V23" s="203" t="s">
        <v>1059</v>
      </c>
      <c r="W23" s="156">
        <v>1</v>
      </c>
      <c r="X23" s="157"/>
      <c r="Y23" s="133" t="s">
        <v>1774</v>
      </c>
      <c r="Z23" s="157"/>
      <c r="AA23" s="157"/>
      <c r="AB23" s="31"/>
    </row>
    <row r="24" spans="1:28" s="57" customFormat="1" ht="330">
      <c r="A24" s="34"/>
      <c r="B24" s="34"/>
      <c r="C24" s="34"/>
      <c r="D24" s="34"/>
      <c r="E24" s="34"/>
      <c r="F24" s="34"/>
      <c r="G24" s="128" t="s">
        <v>716</v>
      </c>
      <c r="H24" s="65"/>
      <c r="I24" s="65"/>
      <c r="J24" s="108" t="s">
        <v>137</v>
      </c>
      <c r="K24" s="133" t="s">
        <v>138</v>
      </c>
      <c r="L24" s="133" t="s">
        <v>317</v>
      </c>
      <c r="M24" s="53">
        <v>0.5</v>
      </c>
      <c r="N24" s="113">
        <v>0.2</v>
      </c>
      <c r="O24" s="112">
        <v>0.2</v>
      </c>
      <c r="P24" s="53">
        <v>0.2</v>
      </c>
      <c r="Q24" s="53">
        <v>0.2</v>
      </c>
      <c r="R24" s="53">
        <v>0.2</v>
      </c>
      <c r="S24" s="133" t="s">
        <v>318</v>
      </c>
      <c r="T24" s="133" t="s">
        <v>319</v>
      </c>
      <c r="U24" s="234" t="s">
        <v>320</v>
      </c>
      <c r="V24" s="203" t="s">
        <v>1060</v>
      </c>
      <c r="W24" s="156">
        <v>1</v>
      </c>
      <c r="X24" s="157"/>
      <c r="Y24" s="133" t="s">
        <v>1775</v>
      </c>
      <c r="Z24" s="157"/>
      <c r="AA24" s="157"/>
      <c r="AB24" s="31"/>
    </row>
    <row r="25" spans="1:28" s="57" customFormat="1" ht="175.5" hidden="1" customHeight="1">
      <c r="A25" s="34"/>
      <c r="B25" s="34"/>
      <c r="C25" s="34"/>
      <c r="D25" s="34"/>
      <c r="E25" s="34"/>
      <c r="F25" s="34"/>
      <c r="G25" s="128" t="s">
        <v>716</v>
      </c>
      <c r="H25" s="65"/>
      <c r="I25" s="65"/>
      <c r="J25" s="133"/>
      <c r="K25" s="133" t="s">
        <v>139</v>
      </c>
      <c r="L25" s="133" t="s">
        <v>317</v>
      </c>
      <c r="M25" s="53">
        <v>0.5</v>
      </c>
      <c r="N25" s="61"/>
      <c r="O25" s="53">
        <v>0.25</v>
      </c>
      <c r="P25" s="53">
        <v>0.25</v>
      </c>
      <c r="Q25" s="53">
        <v>0.25</v>
      </c>
      <c r="R25" s="53">
        <v>0.25</v>
      </c>
      <c r="S25" s="133" t="s">
        <v>318</v>
      </c>
      <c r="T25" s="133" t="s">
        <v>319</v>
      </c>
      <c r="U25" s="270"/>
      <c r="V25" s="157"/>
      <c r="W25" s="156">
        <v>1</v>
      </c>
      <c r="X25" s="157"/>
      <c r="Y25" s="116"/>
      <c r="Z25" s="157"/>
      <c r="AA25" s="157"/>
      <c r="AB25" s="31"/>
    </row>
    <row r="26" spans="1:28" s="57" customFormat="1" ht="135">
      <c r="A26" s="34"/>
      <c r="B26" s="127" t="s">
        <v>1602</v>
      </c>
      <c r="C26" s="127" t="s">
        <v>1603</v>
      </c>
      <c r="D26" s="63">
        <v>40909</v>
      </c>
      <c r="E26" s="63">
        <v>42705</v>
      </c>
      <c r="F26" s="133" t="s">
        <v>968</v>
      </c>
      <c r="G26" s="128" t="s">
        <v>716</v>
      </c>
      <c r="H26" s="127" t="s">
        <v>140</v>
      </c>
      <c r="I26" s="127" t="s">
        <v>978</v>
      </c>
      <c r="J26" s="111" t="s">
        <v>141</v>
      </c>
      <c r="K26" s="127" t="s">
        <v>142</v>
      </c>
      <c r="L26" s="133" t="s">
        <v>297</v>
      </c>
      <c r="M26" s="53">
        <v>0.2</v>
      </c>
      <c r="N26" s="113">
        <v>1</v>
      </c>
      <c r="O26" s="61"/>
      <c r="P26" s="61"/>
      <c r="Q26" s="61"/>
      <c r="R26" s="61"/>
      <c r="S26" s="334" t="s">
        <v>298</v>
      </c>
      <c r="T26" s="334" t="s">
        <v>996</v>
      </c>
      <c r="U26" s="334" t="s">
        <v>299</v>
      </c>
      <c r="V26" s="203" t="s">
        <v>1061</v>
      </c>
      <c r="W26" s="156">
        <v>1</v>
      </c>
      <c r="X26" s="157"/>
      <c r="Y26" s="157"/>
      <c r="Z26" s="157"/>
      <c r="AA26" s="157"/>
      <c r="AB26" s="31"/>
    </row>
    <row r="27" spans="1:28" s="57" customFormat="1" ht="357">
      <c r="A27" s="34"/>
      <c r="B27" s="34"/>
      <c r="C27" s="34"/>
      <c r="D27" s="34"/>
      <c r="E27" s="34"/>
      <c r="F27" s="34"/>
      <c r="G27" s="128" t="s">
        <v>716</v>
      </c>
      <c r="H27" s="127"/>
      <c r="I27" s="127"/>
      <c r="J27" s="52"/>
      <c r="K27" s="133" t="s">
        <v>143</v>
      </c>
      <c r="L27" s="133" t="s">
        <v>300</v>
      </c>
      <c r="M27" s="53">
        <v>0.2</v>
      </c>
      <c r="N27" s="113">
        <v>1</v>
      </c>
      <c r="O27" s="76"/>
      <c r="P27" s="76"/>
      <c r="Q27" s="76"/>
      <c r="R27" s="76"/>
      <c r="S27" s="269"/>
      <c r="T27" s="269"/>
      <c r="U27" s="269"/>
      <c r="V27" s="14" t="s">
        <v>1062</v>
      </c>
      <c r="W27" s="156">
        <v>1</v>
      </c>
      <c r="X27" s="157"/>
      <c r="Y27" s="157"/>
      <c r="Z27" s="157"/>
      <c r="AA27" s="157"/>
      <c r="AB27" s="31"/>
    </row>
    <row r="28" spans="1:28" s="57" customFormat="1" ht="270">
      <c r="A28" s="34"/>
      <c r="B28" s="34"/>
      <c r="C28" s="34"/>
      <c r="D28" s="34"/>
      <c r="E28" s="34"/>
      <c r="F28" s="34"/>
      <c r="G28" s="128" t="s">
        <v>716</v>
      </c>
      <c r="H28" s="127"/>
      <c r="I28" s="127"/>
      <c r="J28" s="52"/>
      <c r="K28" s="133" t="s">
        <v>144</v>
      </c>
      <c r="L28" s="133" t="s">
        <v>301</v>
      </c>
      <c r="M28" s="53">
        <v>0.2</v>
      </c>
      <c r="N28" s="113">
        <v>0.2</v>
      </c>
      <c r="O28" s="112">
        <v>0.2</v>
      </c>
      <c r="P28" s="53">
        <v>0.2</v>
      </c>
      <c r="Q28" s="53">
        <v>0.2</v>
      </c>
      <c r="R28" s="53">
        <v>0.2</v>
      </c>
      <c r="S28" s="270"/>
      <c r="T28" s="270"/>
      <c r="U28" s="133" t="s">
        <v>302</v>
      </c>
      <c r="V28" s="13" t="s">
        <v>1041</v>
      </c>
      <c r="W28" s="156">
        <v>1</v>
      </c>
      <c r="X28" s="157"/>
      <c r="Y28" s="133" t="s">
        <v>1776</v>
      </c>
      <c r="Z28" s="133"/>
      <c r="AA28" s="157"/>
      <c r="AB28" s="31"/>
    </row>
    <row r="29" spans="1:28" s="57" customFormat="1" ht="255">
      <c r="A29" s="34"/>
      <c r="B29" s="34"/>
      <c r="C29" s="34"/>
      <c r="D29" s="34"/>
      <c r="E29" s="34"/>
      <c r="F29" s="34"/>
      <c r="G29" s="128" t="s">
        <v>716</v>
      </c>
      <c r="H29" s="127"/>
      <c r="I29" s="127"/>
      <c r="J29" s="52"/>
      <c r="K29" s="133" t="s">
        <v>145</v>
      </c>
      <c r="L29" s="133" t="s">
        <v>303</v>
      </c>
      <c r="M29" s="53">
        <v>0.2</v>
      </c>
      <c r="N29" s="113">
        <v>1</v>
      </c>
      <c r="O29" s="61"/>
      <c r="P29" s="61"/>
      <c r="Q29" s="61"/>
      <c r="R29" s="61"/>
      <c r="S29" s="77" t="s">
        <v>298</v>
      </c>
      <c r="T29" s="133"/>
      <c r="U29" s="133" t="s">
        <v>304</v>
      </c>
      <c r="V29" s="13" t="s">
        <v>1828</v>
      </c>
      <c r="W29" s="156">
        <v>1</v>
      </c>
      <c r="X29" s="157"/>
      <c r="Y29" s="157"/>
      <c r="Z29" s="157"/>
      <c r="AA29" s="157"/>
      <c r="AB29" s="31"/>
    </row>
    <row r="30" spans="1:28" s="57" customFormat="1" ht="300">
      <c r="A30" s="34"/>
      <c r="B30" s="34"/>
      <c r="C30" s="34"/>
      <c r="D30" s="34"/>
      <c r="E30" s="34"/>
      <c r="F30" s="34"/>
      <c r="G30" s="128" t="s">
        <v>716</v>
      </c>
      <c r="H30" s="127"/>
      <c r="I30" s="127"/>
      <c r="J30" s="52"/>
      <c r="K30" s="133" t="s">
        <v>146</v>
      </c>
      <c r="L30" s="133" t="s">
        <v>305</v>
      </c>
      <c r="M30" s="53">
        <v>0.2</v>
      </c>
      <c r="N30" s="113">
        <v>0.2</v>
      </c>
      <c r="O30" s="112">
        <v>0.2</v>
      </c>
      <c r="P30" s="53">
        <v>0.2</v>
      </c>
      <c r="Q30" s="53">
        <v>0.2</v>
      </c>
      <c r="R30" s="53">
        <v>0.2</v>
      </c>
      <c r="S30" s="133" t="s">
        <v>1261</v>
      </c>
      <c r="T30" s="133" t="s">
        <v>306</v>
      </c>
      <c r="U30" s="129" t="s">
        <v>307</v>
      </c>
      <c r="V30" s="13" t="s">
        <v>1042</v>
      </c>
      <c r="W30" s="156">
        <v>0</v>
      </c>
      <c r="X30" s="13" t="s">
        <v>1829</v>
      </c>
      <c r="Y30" s="71" t="s">
        <v>1777</v>
      </c>
      <c r="Z30" s="157"/>
      <c r="AA30" s="157"/>
      <c r="AB30" s="31"/>
    </row>
    <row r="31" spans="1:28" s="57" customFormat="1" ht="331.5">
      <c r="A31" s="34"/>
      <c r="B31" s="34"/>
      <c r="C31" s="34"/>
      <c r="D31" s="34"/>
      <c r="E31" s="34"/>
      <c r="F31" s="34"/>
      <c r="G31" s="128" t="s">
        <v>716</v>
      </c>
      <c r="H31" s="127"/>
      <c r="I31" s="127"/>
      <c r="J31" s="108" t="s">
        <v>147</v>
      </c>
      <c r="K31" s="133" t="s">
        <v>148</v>
      </c>
      <c r="L31" s="133" t="s">
        <v>309</v>
      </c>
      <c r="M31" s="53">
        <v>1</v>
      </c>
      <c r="N31" s="113">
        <v>1</v>
      </c>
      <c r="O31" s="112"/>
      <c r="P31" s="53"/>
      <c r="Q31" s="53"/>
      <c r="R31" s="53"/>
      <c r="S31" s="133" t="s">
        <v>1262</v>
      </c>
      <c r="T31" s="133"/>
      <c r="U31" s="133" t="s">
        <v>310</v>
      </c>
      <c r="V31" s="13" t="s">
        <v>1086</v>
      </c>
      <c r="W31" s="13" t="s">
        <v>1818</v>
      </c>
      <c r="X31" s="13" t="s">
        <v>1819</v>
      </c>
      <c r="Y31" s="71" t="s">
        <v>1778</v>
      </c>
      <c r="Z31" s="157"/>
      <c r="AA31" s="157"/>
      <c r="AB31" s="31"/>
    </row>
    <row r="32" spans="1:28" s="57" customFormat="1" ht="409.5">
      <c r="A32" s="34"/>
      <c r="B32" s="34"/>
      <c r="C32" s="34"/>
      <c r="D32" s="34"/>
      <c r="E32" s="34"/>
      <c r="F32" s="34"/>
      <c r="G32" s="128" t="s">
        <v>716</v>
      </c>
      <c r="H32" s="127"/>
      <c r="I32" s="127"/>
      <c r="J32" s="108" t="s">
        <v>149</v>
      </c>
      <c r="K32" s="71" t="s">
        <v>150</v>
      </c>
      <c r="L32" s="71" t="s">
        <v>323</v>
      </c>
      <c r="M32" s="53">
        <v>0.15</v>
      </c>
      <c r="N32" s="113">
        <v>0.2</v>
      </c>
      <c r="O32" s="112">
        <v>0.2</v>
      </c>
      <c r="P32" s="53">
        <v>0.2</v>
      </c>
      <c r="Q32" s="53">
        <v>0.2</v>
      </c>
      <c r="R32" s="53">
        <v>0.2</v>
      </c>
      <c r="S32" s="133" t="s">
        <v>1263</v>
      </c>
      <c r="T32" s="133" t="s">
        <v>324</v>
      </c>
      <c r="U32" s="129" t="s">
        <v>325</v>
      </c>
      <c r="V32" s="71" t="s">
        <v>1063</v>
      </c>
      <c r="W32" s="123">
        <v>1</v>
      </c>
      <c r="X32" s="71"/>
      <c r="Y32" s="71" t="s">
        <v>1779</v>
      </c>
      <c r="Z32" s="157"/>
      <c r="AA32" s="157"/>
      <c r="AB32" s="31"/>
    </row>
    <row r="33" spans="1:28" s="57" customFormat="1" ht="285">
      <c r="A33" s="34"/>
      <c r="B33" s="34"/>
      <c r="C33" s="34"/>
      <c r="D33" s="34"/>
      <c r="E33" s="34"/>
      <c r="F33" s="34"/>
      <c r="G33" s="128" t="s">
        <v>716</v>
      </c>
      <c r="H33" s="127"/>
      <c r="I33" s="127"/>
      <c r="J33" s="52"/>
      <c r="K33" s="133" t="s">
        <v>151</v>
      </c>
      <c r="L33" s="133" t="s">
        <v>323</v>
      </c>
      <c r="M33" s="53">
        <v>0.15</v>
      </c>
      <c r="N33" s="113">
        <v>1</v>
      </c>
      <c r="O33" s="53"/>
      <c r="P33" s="53"/>
      <c r="Q33" s="53"/>
      <c r="R33" s="53"/>
      <c r="S33" s="133" t="s">
        <v>1264</v>
      </c>
      <c r="T33" s="133" t="s">
        <v>327</v>
      </c>
      <c r="U33" s="129" t="s">
        <v>328</v>
      </c>
      <c r="V33" s="133" t="s">
        <v>1064</v>
      </c>
      <c r="W33" s="156">
        <v>1</v>
      </c>
      <c r="X33" s="157"/>
      <c r="Y33" s="157"/>
      <c r="Z33" s="157"/>
      <c r="AA33" s="157"/>
      <c r="AB33" s="31"/>
    </row>
    <row r="34" spans="1:28" s="57" customFormat="1" ht="285">
      <c r="A34" s="34"/>
      <c r="B34" s="34"/>
      <c r="C34" s="34"/>
      <c r="D34" s="34"/>
      <c r="E34" s="34"/>
      <c r="F34" s="34"/>
      <c r="G34" s="128" t="s">
        <v>716</v>
      </c>
      <c r="H34" s="127"/>
      <c r="I34" s="127"/>
      <c r="J34" s="52"/>
      <c r="K34" s="133" t="s">
        <v>152</v>
      </c>
      <c r="L34" s="133" t="s">
        <v>329</v>
      </c>
      <c r="M34" s="53">
        <v>0.15</v>
      </c>
      <c r="N34" s="113">
        <v>0.2</v>
      </c>
      <c r="O34" s="53">
        <v>0.2</v>
      </c>
      <c r="P34" s="53">
        <v>0.2</v>
      </c>
      <c r="Q34" s="53">
        <v>0.2</v>
      </c>
      <c r="R34" s="53">
        <v>0.2</v>
      </c>
      <c r="S34" s="133" t="s">
        <v>326</v>
      </c>
      <c r="T34" s="133" t="s">
        <v>330</v>
      </c>
      <c r="U34" s="133" t="s">
        <v>331</v>
      </c>
      <c r="V34" s="133" t="s">
        <v>1065</v>
      </c>
      <c r="W34" s="156">
        <v>1</v>
      </c>
      <c r="X34" s="157"/>
      <c r="Y34" s="116"/>
      <c r="Z34" s="157"/>
      <c r="AA34" s="157"/>
      <c r="AB34" s="31"/>
    </row>
    <row r="35" spans="1:28" s="57" customFormat="1" ht="181.5" customHeight="1">
      <c r="A35" s="34"/>
      <c r="B35" s="34"/>
      <c r="C35" s="34"/>
      <c r="D35" s="34"/>
      <c r="E35" s="34"/>
      <c r="F35" s="34"/>
      <c r="G35" s="128" t="s">
        <v>716</v>
      </c>
      <c r="H35" s="127"/>
      <c r="I35" s="127"/>
      <c r="J35" s="52"/>
      <c r="K35" s="133" t="s">
        <v>153</v>
      </c>
      <c r="L35" s="71" t="s">
        <v>422</v>
      </c>
      <c r="M35" s="53">
        <v>0.15</v>
      </c>
      <c r="N35" s="113">
        <v>0.2</v>
      </c>
      <c r="O35" s="112">
        <v>0.2</v>
      </c>
      <c r="P35" s="53">
        <v>0.2</v>
      </c>
      <c r="Q35" s="53">
        <v>0.2</v>
      </c>
      <c r="R35" s="53">
        <v>0.2</v>
      </c>
      <c r="S35" s="133" t="s">
        <v>1265</v>
      </c>
      <c r="T35" s="133"/>
      <c r="U35" s="133" t="s">
        <v>332</v>
      </c>
      <c r="V35" s="104" t="s">
        <v>1044</v>
      </c>
      <c r="W35" s="156">
        <v>1</v>
      </c>
      <c r="X35" s="157"/>
      <c r="Y35" s="71" t="s">
        <v>1780</v>
      </c>
      <c r="Z35" s="157"/>
      <c r="AA35" s="157"/>
      <c r="AB35" s="31"/>
    </row>
    <row r="36" spans="1:28" s="57" customFormat="1" ht="180">
      <c r="A36" s="34"/>
      <c r="B36" s="34"/>
      <c r="C36" s="34"/>
      <c r="D36" s="34"/>
      <c r="E36" s="34"/>
      <c r="F36" s="34"/>
      <c r="G36" s="128" t="s">
        <v>716</v>
      </c>
      <c r="H36" s="127"/>
      <c r="I36" s="127"/>
      <c r="J36" s="52"/>
      <c r="K36" s="133" t="s">
        <v>154</v>
      </c>
      <c r="L36" s="133" t="s">
        <v>333</v>
      </c>
      <c r="M36" s="53">
        <v>0.15</v>
      </c>
      <c r="N36" s="113">
        <v>0.2</v>
      </c>
      <c r="O36" s="112">
        <v>0.2</v>
      </c>
      <c r="P36" s="53">
        <v>0.2</v>
      </c>
      <c r="Q36" s="53">
        <v>0.2</v>
      </c>
      <c r="R36" s="53">
        <v>0.2</v>
      </c>
      <c r="S36" s="133" t="s">
        <v>334</v>
      </c>
      <c r="T36" s="133"/>
      <c r="U36" s="133" t="s">
        <v>335</v>
      </c>
      <c r="V36" s="104" t="s">
        <v>1066</v>
      </c>
      <c r="W36" s="156">
        <v>1</v>
      </c>
      <c r="X36" s="157"/>
      <c r="Y36" s="71" t="s">
        <v>1781</v>
      </c>
      <c r="Z36" s="157"/>
      <c r="AA36" s="157"/>
      <c r="AB36" s="31"/>
    </row>
    <row r="37" spans="1:28" s="57" customFormat="1" ht="180">
      <c r="A37" s="34"/>
      <c r="B37" s="34"/>
      <c r="C37" s="34"/>
      <c r="D37" s="34"/>
      <c r="E37" s="34"/>
      <c r="F37" s="34"/>
      <c r="G37" s="128" t="s">
        <v>716</v>
      </c>
      <c r="H37" s="127"/>
      <c r="I37" s="127"/>
      <c r="J37" s="52"/>
      <c r="K37" s="127" t="s">
        <v>155</v>
      </c>
      <c r="L37" s="133" t="s">
        <v>336</v>
      </c>
      <c r="M37" s="53">
        <v>0.15</v>
      </c>
      <c r="N37" s="53">
        <v>1</v>
      </c>
      <c r="O37" s="112"/>
      <c r="P37" s="53"/>
      <c r="Q37" s="53"/>
      <c r="R37" s="53"/>
      <c r="S37" s="71" t="s">
        <v>337</v>
      </c>
      <c r="T37" s="133"/>
      <c r="U37" s="234" t="s">
        <v>338</v>
      </c>
      <c r="V37" s="71" t="s">
        <v>1833</v>
      </c>
      <c r="W37" s="156">
        <v>1</v>
      </c>
      <c r="X37" s="157"/>
      <c r="Y37" s="133" t="s">
        <v>1782</v>
      </c>
      <c r="Z37" s="157"/>
      <c r="AA37" s="157"/>
      <c r="AB37" s="31"/>
    </row>
    <row r="38" spans="1:28" s="57" customFormat="1" ht="180">
      <c r="A38" s="34"/>
      <c r="B38" s="34"/>
      <c r="C38" s="34"/>
      <c r="D38" s="34"/>
      <c r="E38" s="34"/>
      <c r="F38" s="34"/>
      <c r="G38" s="128" t="s">
        <v>716</v>
      </c>
      <c r="H38" s="127"/>
      <c r="I38" s="127"/>
      <c r="J38" s="52"/>
      <c r="K38" s="127" t="s">
        <v>156</v>
      </c>
      <c r="L38" s="127" t="s">
        <v>339</v>
      </c>
      <c r="M38" s="53">
        <v>0.1</v>
      </c>
      <c r="N38" s="53">
        <v>0.2</v>
      </c>
      <c r="O38" s="53">
        <v>0.2</v>
      </c>
      <c r="P38" s="53">
        <v>0.2</v>
      </c>
      <c r="Q38" s="53">
        <v>0.2</v>
      </c>
      <c r="R38" s="53">
        <v>0.2</v>
      </c>
      <c r="S38" s="71" t="s">
        <v>337</v>
      </c>
      <c r="T38" s="71" t="s">
        <v>340</v>
      </c>
      <c r="U38" s="270"/>
      <c r="V38" s="71" t="s">
        <v>1834</v>
      </c>
      <c r="W38" s="156">
        <v>1</v>
      </c>
      <c r="X38" s="157"/>
      <c r="Y38" s="116"/>
      <c r="Z38" s="157"/>
      <c r="AA38" s="157"/>
      <c r="AB38" s="31"/>
    </row>
    <row r="39" spans="1:28" s="57" customFormat="1" ht="360">
      <c r="A39" s="34"/>
      <c r="B39" s="34"/>
      <c r="C39" s="34"/>
      <c r="D39" s="34"/>
      <c r="E39" s="34"/>
      <c r="F39" s="34"/>
      <c r="G39" s="128" t="s">
        <v>716</v>
      </c>
      <c r="H39" s="127"/>
      <c r="I39" s="127"/>
      <c r="J39" s="108" t="s">
        <v>157</v>
      </c>
      <c r="K39" s="133" t="s">
        <v>158</v>
      </c>
      <c r="L39" s="133" t="s">
        <v>860</v>
      </c>
      <c r="M39" s="53">
        <v>1</v>
      </c>
      <c r="N39" s="113">
        <v>1</v>
      </c>
      <c r="O39" s="53"/>
      <c r="P39" s="53"/>
      <c r="Q39" s="53"/>
      <c r="R39" s="53"/>
      <c r="S39" s="305" t="s">
        <v>1266</v>
      </c>
      <c r="T39" s="305" t="s">
        <v>345</v>
      </c>
      <c r="U39" s="133" t="s">
        <v>342</v>
      </c>
      <c r="V39" s="133" t="s">
        <v>1067</v>
      </c>
      <c r="W39" s="156">
        <v>1</v>
      </c>
      <c r="X39" s="157"/>
      <c r="Y39" s="157"/>
      <c r="Z39" s="157"/>
      <c r="AA39" s="157"/>
      <c r="AB39" s="31"/>
    </row>
    <row r="40" spans="1:28" s="57" customFormat="1" ht="405">
      <c r="A40" s="34"/>
      <c r="B40" s="34"/>
      <c r="C40" s="34"/>
      <c r="D40" s="34"/>
      <c r="E40" s="34"/>
      <c r="F40" s="34"/>
      <c r="G40" s="128" t="s">
        <v>716</v>
      </c>
      <c r="H40" s="127"/>
      <c r="I40" s="127"/>
      <c r="J40" s="108" t="s">
        <v>159</v>
      </c>
      <c r="K40" s="133" t="s">
        <v>161</v>
      </c>
      <c r="L40" s="133" t="s">
        <v>344</v>
      </c>
      <c r="M40" s="53">
        <v>1</v>
      </c>
      <c r="N40" s="113">
        <v>0.2</v>
      </c>
      <c r="O40" s="112">
        <v>0.2</v>
      </c>
      <c r="P40" s="53">
        <v>0.2</v>
      </c>
      <c r="Q40" s="53">
        <v>0.2</v>
      </c>
      <c r="R40" s="53">
        <v>0.2</v>
      </c>
      <c r="S40" s="270"/>
      <c r="T40" s="270"/>
      <c r="U40" s="133" t="s">
        <v>346</v>
      </c>
      <c r="V40" s="133" t="s">
        <v>1068</v>
      </c>
      <c r="W40" s="156">
        <v>0.9</v>
      </c>
      <c r="X40" s="133" t="s">
        <v>1830</v>
      </c>
      <c r="Y40" s="71" t="s">
        <v>1783</v>
      </c>
      <c r="Z40" s="157"/>
      <c r="AA40" s="157"/>
      <c r="AB40" s="31"/>
    </row>
    <row r="41" spans="1:28" s="57" customFormat="1" ht="409.5">
      <c r="A41" s="34"/>
      <c r="B41" s="34"/>
      <c r="C41" s="34"/>
      <c r="D41" s="34"/>
      <c r="E41" s="34"/>
      <c r="F41" s="34"/>
      <c r="G41" s="128" t="s">
        <v>716</v>
      </c>
      <c r="H41" s="127"/>
      <c r="I41" s="127"/>
      <c r="J41" s="108" t="s">
        <v>1856</v>
      </c>
      <c r="K41" s="133" t="s">
        <v>160</v>
      </c>
      <c r="L41" s="133" t="s">
        <v>348</v>
      </c>
      <c r="M41" s="53">
        <v>1</v>
      </c>
      <c r="N41" s="113">
        <v>0.2</v>
      </c>
      <c r="O41" s="112">
        <v>0.2</v>
      </c>
      <c r="P41" s="53">
        <v>0.2</v>
      </c>
      <c r="Q41" s="53">
        <v>0.2</v>
      </c>
      <c r="R41" s="53">
        <v>0.2</v>
      </c>
      <c r="S41" s="71" t="s">
        <v>1267</v>
      </c>
      <c r="T41" s="71" t="s">
        <v>349</v>
      </c>
      <c r="U41" s="133" t="s">
        <v>350</v>
      </c>
      <c r="V41" s="133" t="s">
        <v>1069</v>
      </c>
      <c r="W41" s="53">
        <v>1</v>
      </c>
      <c r="X41" s="157"/>
      <c r="Y41" s="71" t="s">
        <v>1784</v>
      </c>
      <c r="Z41" s="157"/>
      <c r="AA41" s="157"/>
      <c r="AB41" s="31"/>
    </row>
    <row r="42" spans="1:28" s="57" customFormat="1" ht="165">
      <c r="A42" s="34"/>
      <c r="B42" s="34"/>
      <c r="C42" s="34"/>
      <c r="D42" s="34"/>
      <c r="E42" s="34"/>
      <c r="F42" s="34"/>
      <c r="G42" s="128" t="s">
        <v>716</v>
      </c>
      <c r="H42" s="127"/>
      <c r="I42" s="127"/>
      <c r="J42" s="108" t="s">
        <v>162</v>
      </c>
      <c r="K42" s="133" t="s">
        <v>163</v>
      </c>
      <c r="L42" s="133" t="s">
        <v>352</v>
      </c>
      <c r="M42" s="53">
        <v>0.25</v>
      </c>
      <c r="N42" s="113">
        <v>1</v>
      </c>
      <c r="O42" s="53"/>
      <c r="P42" s="53"/>
      <c r="Q42" s="53"/>
      <c r="R42" s="53"/>
      <c r="S42" s="305" t="s">
        <v>353</v>
      </c>
      <c r="T42" s="305" t="s">
        <v>354</v>
      </c>
      <c r="U42" s="305" t="s">
        <v>355</v>
      </c>
      <c r="V42" s="133" t="s">
        <v>1070</v>
      </c>
      <c r="W42" s="156">
        <v>1</v>
      </c>
      <c r="X42" s="157"/>
      <c r="Y42" s="157"/>
      <c r="Z42" s="157"/>
      <c r="AA42" s="157"/>
      <c r="AB42" s="31"/>
    </row>
    <row r="43" spans="1:28" s="57" customFormat="1" ht="135">
      <c r="A43" s="34"/>
      <c r="B43" s="34"/>
      <c r="C43" s="34"/>
      <c r="D43" s="34"/>
      <c r="E43" s="34"/>
      <c r="F43" s="34"/>
      <c r="G43" s="128" t="s">
        <v>716</v>
      </c>
      <c r="H43" s="127"/>
      <c r="I43" s="127"/>
      <c r="J43" s="52"/>
      <c r="K43" s="133" t="s">
        <v>164</v>
      </c>
      <c r="L43" s="133" t="s">
        <v>356</v>
      </c>
      <c r="M43" s="53">
        <v>0.25</v>
      </c>
      <c r="N43" s="113">
        <v>0.2</v>
      </c>
      <c r="O43" s="112">
        <v>0.2</v>
      </c>
      <c r="P43" s="53">
        <v>0.2</v>
      </c>
      <c r="Q43" s="53">
        <v>0.2</v>
      </c>
      <c r="R43" s="53">
        <v>0.2</v>
      </c>
      <c r="S43" s="269"/>
      <c r="T43" s="270"/>
      <c r="U43" s="270"/>
      <c r="V43" s="133" t="s">
        <v>1071</v>
      </c>
      <c r="W43" s="156">
        <v>1</v>
      </c>
      <c r="X43" s="157"/>
      <c r="Y43" s="133" t="s">
        <v>1785</v>
      </c>
      <c r="Z43" s="157"/>
      <c r="AA43" s="157"/>
      <c r="AB43" s="31"/>
    </row>
    <row r="44" spans="1:28" s="57" customFormat="1" ht="225">
      <c r="A44" s="34"/>
      <c r="B44" s="34"/>
      <c r="C44" s="34"/>
      <c r="D44" s="34"/>
      <c r="E44" s="34"/>
      <c r="F44" s="34"/>
      <c r="G44" s="128" t="s">
        <v>716</v>
      </c>
      <c r="H44" s="127"/>
      <c r="I44" s="127"/>
      <c r="J44" s="52"/>
      <c r="K44" s="133" t="s">
        <v>165</v>
      </c>
      <c r="L44" s="133" t="s">
        <v>357</v>
      </c>
      <c r="M44" s="53">
        <v>0.25</v>
      </c>
      <c r="N44" s="113">
        <v>1</v>
      </c>
      <c r="O44" s="112"/>
      <c r="P44" s="53"/>
      <c r="Q44" s="53"/>
      <c r="R44" s="53"/>
      <c r="S44" s="270"/>
      <c r="T44" s="130" t="s">
        <v>358</v>
      </c>
      <c r="U44" s="234" t="s">
        <v>359</v>
      </c>
      <c r="V44" s="133" t="s">
        <v>1072</v>
      </c>
      <c r="W44" s="156">
        <v>1</v>
      </c>
      <c r="X44" s="157"/>
      <c r="Y44" s="133" t="s">
        <v>1786</v>
      </c>
      <c r="Z44" s="157"/>
      <c r="AA44" s="157"/>
      <c r="AB44" s="31"/>
    </row>
    <row r="45" spans="1:28" s="57" customFormat="1" ht="225">
      <c r="A45" s="34"/>
      <c r="B45" s="34"/>
      <c r="C45" s="34"/>
      <c r="D45" s="34"/>
      <c r="E45" s="34"/>
      <c r="F45" s="34"/>
      <c r="G45" s="128" t="s">
        <v>716</v>
      </c>
      <c r="H45" s="127"/>
      <c r="I45" s="127"/>
      <c r="J45" s="52"/>
      <c r="K45" s="133" t="s">
        <v>166</v>
      </c>
      <c r="L45" s="133" t="s">
        <v>360</v>
      </c>
      <c r="M45" s="53">
        <v>0.25</v>
      </c>
      <c r="N45" s="53">
        <v>0.2</v>
      </c>
      <c r="O45" s="112">
        <v>0.2</v>
      </c>
      <c r="P45" s="53">
        <v>0.2</v>
      </c>
      <c r="Q45" s="53">
        <v>0.2</v>
      </c>
      <c r="R45" s="53">
        <v>0.2</v>
      </c>
      <c r="S45" s="130" t="s">
        <v>353</v>
      </c>
      <c r="T45" s="130" t="s">
        <v>358</v>
      </c>
      <c r="U45" s="270"/>
      <c r="V45" s="130" t="s">
        <v>1835</v>
      </c>
      <c r="W45" s="156">
        <v>1</v>
      </c>
      <c r="X45" s="157"/>
      <c r="Y45" s="133" t="s">
        <v>1786</v>
      </c>
      <c r="Z45" s="157"/>
      <c r="AA45" s="157"/>
      <c r="AB45" s="31"/>
    </row>
    <row r="46" spans="1:28" s="57" customFormat="1" ht="150">
      <c r="A46" s="34"/>
      <c r="B46" s="34"/>
      <c r="C46" s="34"/>
      <c r="D46" s="34"/>
      <c r="E46" s="34"/>
      <c r="F46" s="34"/>
      <c r="G46" s="128" t="s">
        <v>716</v>
      </c>
      <c r="H46" s="127"/>
      <c r="I46" s="127"/>
      <c r="J46" s="108" t="s">
        <v>167</v>
      </c>
      <c r="K46" s="133" t="s">
        <v>168</v>
      </c>
      <c r="L46" s="133" t="s">
        <v>369</v>
      </c>
      <c r="M46" s="53">
        <v>0.5</v>
      </c>
      <c r="N46" s="113">
        <v>1</v>
      </c>
      <c r="O46" s="53"/>
      <c r="P46" s="53"/>
      <c r="Q46" s="53"/>
      <c r="R46" s="53"/>
      <c r="S46" s="234" t="s">
        <v>373</v>
      </c>
      <c r="T46" s="234" t="s">
        <v>374</v>
      </c>
      <c r="U46" s="234" t="s">
        <v>375</v>
      </c>
      <c r="V46" s="133" t="s">
        <v>1066</v>
      </c>
      <c r="W46" s="156">
        <v>1</v>
      </c>
      <c r="X46" s="157"/>
      <c r="Y46" s="157"/>
      <c r="Z46" s="157"/>
      <c r="AA46" s="157"/>
      <c r="AB46" s="31"/>
    </row>
    <row r="47" spans="1:28" s="57" customFormat="1" ht="76.5" hidden="1" customHeight="1">
      <c r="A47" s="34"/>
      <c r="B47" s="34"/>
      <c r="C47" s="34"/>
      <c r="D47" s="34"/>
      <c r="E47" s="34"/>
      <c r="F47" s="34"/>
      <c r="G47" s="128" t="s">
        <v>716</v>
      </c>
      <c r="H47" s="127"/>
      <c r="I47" s="127"/>
      <c r="J47" s="110"/>
      <c r="K47" s="133" t="s">
        <v>169</v>
      </c>
      <c r="L47" s="133" t="s">
        <v>370</v>
      </c>
      <c r="M47" s="53">
        <v>0.5</v>
      </c>
      <c r="N47" s="53"/>
      <c r="O47" s="53">
        <v>0.25</v>
      </c>
      <c r="P47" s="53">
        <v>0.25</v>
      </c>
      <c r="Q47" s="53">
        <v>0.25</v>
      </c>
      <c r="R47" s="53">
        <v>0.25</v>
      </c>
      <c r="S47" s="270"/>
      <c r="T47" s="270"/>
      <c r="U47" s="270"/>
      <c r="V47" s="179"/>
      <c r="W47" s="156"/>
      <c r="X47" s="157"/>
      <c r="Y47" s="116"/>
      <c r="Z47" s="157"/>
      <c r="AA47" s="157"/>
      <c r="AB47" s="31"/>
    </row>
    <row r="48" spans="1:28" s="57" customFormat="1" ht="258" customHeight="1">
      <c r="A48" s="34"/>
      <c r="B48" s="34"/>
      <c r="C48" s="34"/>
      <c r="D48" s="34"/>
      <c r="E48" s="34"/>
      <c r="F48" s="34"/>
      <c r="G48" s="128" t="s">
        <v>716</v>
      </c>
      <c r="H48" s="127"/>
      <c r="I48" s="127"/>
      <c r="J48" s="108" t="s">
        <v>170</v>
      </c>
      <c r="K48" s="133" t="s">
        <v>171</v>
      </c>
      <c r="L48" s="133" t="s">
        <v>372</v>
      </c>
      <c r="M48" s="53">
        <v>1</v>
      </c>
      <c r="N48" s="53">
        <v>0.2</v>
      </c>
      <c r="O48" s="112">
        <v>0.2</v>
      </c>
      <c r="P48" s="53">
        <v>0.2</v>
      </c>
      <c r="Q48" s="53">
        <v>0.2</v>
      </c>
      <c r="R48" s="53">
        <v>0.2</v>
      </c>
      <c r="S48" s="130" t="s">
        <v>995</v>
      </c>
      <c r="T48" s="130" t="s">
        <v>376</v>
      </c>
      <c r="U48" s="78" t="s">
        <v>377</v>
      </c>
      <c r="V48" s="199"/>
      <c r="W48" s="156">
        <v>1</v>
      </c>
      <c r="X48" s="157"/>
      <c r="Y48" s="133" t="s">
        <v>1787</v>
      </c>
      <c r="Z48" s="157"/>
      <c r="AA48" s="157"/>
      <c r="AB48" s="31"/>
    </row>
    <row r="49" spans="1:28" s="57" customFormat="1" ht="150">
      <c r="A49" s="34"/>
      <c r="B49" s="34"/>
      <c r="C49" s="34"/>
      <c r="D49" s="34"/>
      <c r="E49" s="34"/>
      <c r="F49" s="34"/>
      <c r="G49" s="128" t="s">
        <v>716</v>
      </c>
      <c r="H49" s="127"/>
      <c r="I49" s="127"/>
      <c r="J49" s="110" t="s">
        <v>172</v>
      </c>
      <c r="K49" s="133" t="s">
        <v>173</v>
      </c>
      <c r="L49" s="133" t="s">
        <v>379</v>
      </c>
      <c r="M49" s="53">
        <v>0.5</v>
      </c>
      <c r="N49" s="113">
        <v>0.2</v>
      </c>
      <c r="O49" s="112">
        <v>0.2</v>
      </c>
      <c r="P49" s="53">
        <v>0.2</v>
      </c>
      <c r="Q49" s="53">
        <v>0.2</v>
      </c>
      <c r="R49" s="53">
        <v>0.2</v>
      </c>
      <c r="S49" s="130" t="s">
        <v>380</v>
      </c>
      <c r="T49" s="130"/>
      <c r="U49" s="234" t="s">
        <v>420</v>
      </c>
      <c r="V49" s="133" t="s">
        <v>1073</v>
      </c>
      <c r="W49" s="156">
        <v>1</v>
      </c>
      <c r="X49" s="157"/>
      <c r="Y49" s="133" t="s">
        <v>1788</v>
      </c>
      <c r="Z49" s="157"/>
      <c r="AA49" s="157"/>
      <c r="AB49" s="31"/>
    </row>
    <row r="50" spans="1:28" s="57" customFormat="1" ht="75">
      <c r="A50" s="34"/>
      <c r="B50" s="34"/>
      <c r="C50" s="34"/>
      <c r="D50" s="34"/>
      <c r="E50" s="34"/>
      <c r="F50" s="34"/>
      <c r="G50" s="128" t="s">
        <v>716</v>
      </c>
      <c r="H50" s="127"/>
      <c r="I50" s="127"/>
      <c r="J50" s="52"/>
      <c r="K50" s="133" t="s">
        <v>174</v>
      </c>
      <c r="L50" s="133" t="s">
        <v>381</v>
      </c>
      <c r="M50" s="53">
        <v>0.5</v>
      </c>
      <c r="N50" s="113">
        <v>0.2</v>
      </c>
      <c r="O50" s="112">
        <v>0.2</v>
      </c>
      <c r="P50" s="53">
        <v>0.2</v>
      </c>
      <c r="Q50" s="53">
        <v>0.2</v>
      </c>
      <c r="R50" s="53">
        <v>0.2</v>
      </c>
      <c r="S50" s="130" t="s">
        <v>382</v>
      </c>
      <c r="T50" s="130" t="s">
        <v>786</v>
      </c>
      <c r="U50" s="270"/>
      <c r="V50" s="133" t="s">
        <v>1074</v>
      </c>
      <c r="W50" s="53">
        <v>0</v>
      </c>
      <c r="X50" s="133" t="s">
        <v>1850</v>
      </c>
      <c r="Y50" s="133" t="s">
        <v>1789</v>
      </c>
      <c r="Z50" s="157"/>
      <c r="AA50" s="157"/>
      <c r="AB50" s="31"/>
    </row>
    <row r="51" spans="1:28" s="57" customFormat="1" ht="165" hidden="1">
      <c r="A51" s="34"/>
      <c r="B51" s="34"/>
      <c r="C51" s="34"/>
      <c r="D51" s="34"/>
      <c r="E51" s="34"/>
      <c r="F51" s="34"/>
      <c r="G51" s="128" t="s">
        <v>716</v>
      </c>
      <c r="H51" s="127"/>
      <c r="I51" s="127"/>
      <c r="J51" s="133" t="s">
        <v>205</v>
      </c>
      <c r="K51" s="133" t="s">
        <v>206</v>
      </c>
      <c r="L51" s="133" t="s">
        <v>403</v>
      </c>
      <c r="M51" s="53">
        <v>1</v>
      </c>
      <c r="N51" s="112"/>
      <c r="O51" s="53">
        <v>0.25</v>
      </c>
      <c r="P51" s="53">
        <v>0.25</v>
      </c>
      <c r="Q51" s="53">
        <v>0.25</v>
      </c>
      <c r="R51" s="53">
        <v>0.25</v>
      </c>
      <c r="S51" s="130" t="s">
        <v>404</v>
      </c>
      <c r="T51" s="130"/>
      <c r="U51" s="130" t="s">
        <v>405</v>
      </c>
      <c r="V51" s="179"/>
      <c r="W51" s="156"/>
      <c r="X51" s="157"/>
      <c r="Y51" s="116"/>
      <c r="Z51" s="157"/>
      <c r="AA51" s="157"/>
      <c r="AB51" s="31"/>
    </row>
    <row r="52" spans="1:28" s="57" customFormat="1" ht="154.5" customHeight="1">
      <c r="A52" s="34"/>
      <c r="B52" s="34"/>
      <c r="C52" s="34"/>
      <c r="D52" s="34"/>
      <c r="E52" s="34"/>
      <c r="F52" s="34"/>
      <c r="G52" s="128" t="s">
        <v>716</v>
      </c>
      <c r="H52" s="127"/>
      <c r="I52" s="127"/>
      <c r="J52" s="108" t="s">
        <v>175</v>
      </c>
      <c r="K52" s="133" t="s">
        <v>176</v>
      </c>
      <c r="L52" s="133" t="s">
        <v>406</v>
      </c>
      <c r="M52" s="53">
        <v>1</v>
      </c>
      <c r="N52" s="113">
        <v>0.2</v>
      </c>
      <c r="O52" s="112">
        <v>0.2</v>
      </c>
      <c r="P52" s="53">
        <v>0.2</v>
      </c>
      <c r="Q52" s="53">
        <v>0.2</v>
      </c>
      <c r="R52" s="53">
        <v>0.2</v>
      </c>
      <c r="S52" s="130" t="s">
        <v>1268</v>
      </c>
      <c r="T52" s="130" t="s">
        <v>996</v>
      </c>
      <c r="U52" s="130" t="s">
        <v>407</v>
      </c>
      <c r="V52" s="133" t="s">
        <v>1087</v>
      </c>
      <c r="W52" s="53">
        <v>1</v>
      </c>
      <c r="X52" s="133"/>
      <c r="Y52" s="133" t="s">
        <v>1790</v>
      </c>
      <c r="Z52" s="157"/>
      <c r="AA52" s="157"/>
      <c r="AB52" s="31"/>
    </row>
    <row r="53" spans="1:28" s="57" customFormat="1" ht="297.75" customHeight="1">
      <c r="A53" s="34"/>
      <c r="B53" s="127" t="s">
        <v>1604</v>
      </c>
      <c r="C53" s="127" t="s">
        <v>1605</v>
      </c>
      <c r="D53" s="63">
        <v>40909</v>
      </c>
      <c r="E53" s="63">
        <v>42705</v>
      </c>
      <c r="F53" s="127" t="s">
        <v>1297</v>
      </c>
      <c r="G53" s="128" t="s">
        <v>716</v>
      </c>
      <c r="H53" s="133" t="s">
        <v>179</v>
      </c>
      <c r="I53" s="127" t="s">
        <v>432</v>
      </c>
      <c r="J53" s="111" t="s">
        <v>177</v>
      </c>
      <c r="K53" s="127" t="s">
        <v>178</v>
      </c>
      <c r="L53" s="127" t="s">
        <v>980</v>
      </c>
      <c r="M53" s="53">
        <v>0.25</v>
      </c>
      <c r="N53" s="113">
        <v>1</v>
      </c>
      <c r="O53" s="61"/>
      <c r="P53" s="61"/>
      <c r="Q53" s="61"/>
      <c r="R53" s="61"/>
      <c r="S53" s="234" t="s">
        <v>981</v>
      </c>
      <c r="T53" s="127" t="s">
        <v>982</v>
      </c>
      <c r="U53" s="234" t="s">
        <v>990</v>
      </c>
      <c r="V53" s="133" t="s">
        <v>1011</v>
      </c>
      <c r="W53" s="156">
        <v>0.5</v>
      </c>
      <c r="X53" s="124" t="s">
        <v>1821</v>
      </c>
      <c r="Y53" s="157"/>
      <c r="Z53" s="157"/>
      <c r="AA53" s="157"/>
      <c r="AB53" s="31"/>
    </row>
    <row r="54" spans="1:28" s="57" customFormat="1" ht="127.5" hidden="1" customHeight="1">
      <c r="A54" s="34"/>
      <c r="B54" s="34"/>
      <c r="C54" s="34"/>
      <c r="D54" s="34"/>
      <c r="E54" s="34"/>
      <c r="F54" s="34"/>
      <c r="G54" s="128" t="s">
        <v>716</v>
      </c>
      <c r="H54" s="34"/>
      <c r="I54" s="34"/>
      <c r="J54" s="52"/>
      <c r="K54" s="127" t="s">
        <v>180</v>
      </c>
      <c r="L54" s="127" t="s">
        <v>983</v>
      </c>
      <c r="M54" s="53">
        <v>0.5</v>
      </c>
      <c r="N54" s="114"/>
      <c r="O54" s="53">
        <v>1</v>
      </c>
      <c r="P54" s="61"/>
      <c r="Q54" s="61"/>
      <c r="R54" s="61"/>
      <c r="S54" s="269"/>
      <c r="T54" s="127" t="s">
        <v>982</v>
      </c>
      <c r="U54" s="269"/>
      <c r="V54" s="179"/>
      <c r="W54" s="156"/>
      <c r="X54" s="157"/>
      <c r="Y54" s="116"/>
      <c r="Z54" s="157"/>
      <c r="AA54" s="157"/>
      <c r="AB54" s="31"/>
    </row>
    <row r="55" spans="1:28" s="57" customFormat="1" ht="105" hidden="1">
      <c r="A55" s="34"/>
      <c r="B55" s="34"/>
      <c r="C55" s="34"/>
      <c r="D55" s="34"/>
      <c r="E55" s="34"/>
      <c r="F55" s="34"/>
      <c r="G55" s="128" t="s">
        <v>716</v>
      </c>
      <c r="H55" s="34"/>
      <c r="I55" s="34"/>
      <c r="J55" s="52"/>
      <c r="K55" s="133" t="s">
        <v>181</v>
      </c>
      <c r="L55" s="75" t="s">
        <v>984</v>
      </c>
      <c r="M55" s="53">
        <v>0.25</v>
      </c>
      <c r="N55" s="114"/>
      <c r="O55" s="53">
        <v>0.25</v>
      </c>
      <c r="P55" s="53">
        <v>0.25</v>
      </c>
      <c r="Q55" s="53">
        <v>0.25</v>
      </c>
      <c r="R55" s="53">
        <v>0.25</v>
      </c>
      <c r="S55" s="270"/>
      <c r="T55" s="127" t="s">
        <v>982</v>
      </c>
      <c r="U55" s="270"/>
      <c r="V55" s="179"/>
      <c r="W55" s="156"/>
      <c r="X55" s="157"/>
      <c r="Y55" s="116"/>
      <c r="Z55" s="157"/>
      <c r="AA55" s="157"/>
      <c r="AB55" s="31"/>
    </row>
    <row r="56" spans="1:28" s="57" customFormat="1" ht="285">
      <c r="A56" s="34"/>
      <c r="B56" s="34"/>
      <c r="C56" s="34"/>
      <c r="D56" s="34"/>
      <c r="E56" s="34"/>
      <c r="F56" s="34"/>
      <c r="G56" s="128" t="s">
        <v>716</v>
      </c>
      <c r="H56" s="34"/>
      <c r="I56" s="34"/>
      <c r="J56" s="133" t="s">
        <v>182</v>
      </c>
      <c r="K56" s="133" t="s">
        <v>183</v>
      </c>
      <c r="L56" s="133" t="s">
        <v>807</v>
      </c>
      <c r="M56" s="53">
        <v>1</v>
      </c>
      <c r="N56" s="113">
        <v>1</v>
      </c>
      <c r="O56" s="61"/>
      <c r="P56" s="53"/>
      <c r="Q56" s="53"/>
      <c r="R56" s="61"/>
      <c r="S56" s="130" t="s">
        <v>1269</v>
      </c>
      <c r="T56" s="127" t="s">
        <v>488</v>
      </c>
      <c r="U56" s="130" t="s">
        <v>281</v>
      </c>
      <c r="V56" s="133" t="s">
        <v>1083</v>
      </c>
      <c r="W56" s="156">
        <v>0.5</v>
      </c>
      <c r="X56" s="124" t="s">
        <v>1821</v>
      </c>
      <c r="Y56" s="157" t="s">
        <v>1716</v>
      </c>
      <c r="Z56" s="157"/>
      <c r="AA56" s="157"/>
      <c r="AB56" s="31"/>
    </row>
    <row r="57" spans="1:28" s="57" customFormat="1" ht="300">
      <c r="A57" s="34"/>
      <c r="B57" s="34"/>
      <c r="C57" s="34"/>
      <c r="D57" s="34"/>
      <c r="E57" s="34"/>
      <c r="F57" s="34"/>
      <c r="G57" s="128" t="s">
        <v>716</v>
      </c>
      <c r="H57" s="34"/>
      <c r="I57" s="34"/>
      <c r="J57" s="133" t="s">
        <v>184</v>
      </c>
      <c r="K57" s="133" t="s">
        <v>185</v>
      </c>
      <c r="L57" s="133" t="s">
        <v>433</v>
      </c>
      <c r="M57" s="53">
        <v>0.4</v>
      </c>
      <c r="N57" s="53">
        <v>1</v>
      </c>
      <c r="O57" s="61"/>
      <c r="P57" s="61"/>
      <c r="Q57" s="61"/>
      <c r="R57" s="61"/>
      <c r="S57" s="130" t="s">
        <v>508</v>
      </c>
      <c r="T57" s="127" t="s">
        <v>489</v>
      </c>
      <c r="U57" s="133" t="s">
        <v>511</v>
      </c>
      <c r="V57" s="199"/>
      <c r="W57" s="156">
        <v>0.5</v>
      </c>
      <c r="X57" s="124" t="s">
        <v>1821</v>
      </c>
      <c r="Y57" s="157"/>
      <c r="Z57" s="157"/>
      <c r="AA57" s="157"/>
      <c r="AB57" s="31"/>
    </row>
    <row r="58" spans="1:28" s="57" customFormat="1" ht="195">
      <c r="A58" s="34"/>
      <c r="B58" s="34"/>
      <c r="C58" s="34"/>
      <c r="D58" s="34"/>
      <c r="E58" s="34"/>
      <c r="F58" s="34"/>
      <c r="G58" s="128" t="s">
        <v>716</v>
      </c>
      <c r="H58" s="133"/>
      <c r="I58" s="52"/>
      <c r="J58" s="133"/>
      <c r="K58" s="133" t="s">
        <v>186</v>
      </c>
      <c r="L58" s="133" t="s">
        <v>434</v>
      </c>
      <c r="M58" s="53">
        <v>0.6</v>
      </c>
      <c r="N58" s="53"/>
      <c r="O58" s="112">
        <v>0.25</v>
      </c>
      <c r="P58" s="53">
        <v>0.25</v>
      </c>
      <c r="Q58" s="53">
        <v>0.25</v>
      </c>
      <c r="R58" s="53">
        <v>0.25</v>
      </c>
      <c r="S58" s="130" t="s">
        <v>539</v>
      </c>
      <c r="T58" s="34"/>
      <c r="U58" s="133" t="s">
        <v>512</v>
      </c>
      <c r="V58" s="179"/>
      <c r="W58" s="156"/>
      <c r="X58" s="157"/>
      <c r="Y58" s="133" t="s">
        <v>1791</v>
      </c>
      <c r="Z58" s="157"/>
      <c r="AA58" s="157"/>
      <c r="AB58" s="31"/>
    </row>
    <row r="59" spans="1:28" s="57" customFormat="1" ht="255">
      <c r="A59" s="34"/>
      <c r="B59" s="34"/>
      <c r="C59" s="34"/>
      <c r="D59" s="34"/>
      <c r="E59" s="34"/>
      <c r="F59" s="34"/>
      <c r="G59" s="128" t="s">
        <v>716</v>
      </c>
      <c r="H59" s="34"/>
      <c r="I59" s="34"/>
      <c r="J59" s="133" t="s">
        <v>187</v>
      </c>
      <c r="K59" s="133" t="s">
        <v>188</v>
      </c>
      <c r="L59" s="133" t="s">
        <v>435</v>
      </c>
      <c r="M59" s="53">
        <v>0.4</v>
      </c>
      <c r="N59" s="113">
        <v>1</v>
      </c>
      <c r="O59" s="61"/>
      <c r="P59" s="61"/>
      <c r="Q59" s="61"/>
      <c r="R59" s="61"/>
      <c r="S59" s="130" t="s">
        <v>1270</v>
      </c>
      <c r="T59" s="127" t="s">
        <v>490</v>
      </c>
      <c r="U59" s="133" t="s">
        <v>491</v>
      </c>
      <c r="V59" s="133" t="s">
        <v>1012</v>
      </c>
      <c r="W59" s="156">
        <v>0.5</v>
      </c>
      <c r="X59" s="133" t="s">
        <v>1821</v>
      </c>
      <c r="Y59" s="157"/>
      <c r="Z59" s="157"/>
      <c r="AA59" s="157"/>
      <c r="AB59" s="31"/>
    </row>
    <row r="60" spans="1:28" s="57" customFormat="1" ht="90" hidden="1">
      <c r="A60" s="34"/>
      <c r="B60" s="34"/>
      <c r="C60" s="34"/>
      <c r="D60" s="34"/>
      <c r="E60" s="34"/>
      <c r="F60" s="34"/>
      <c r="G60" s="128" t="s">
        <v>716</v>
      </c>
      <c r="H60" s="34"/>
      <c r="I60" s="34"/>
      <c r="J60" s="133"/>
      <c r="K60" s="133" t="s">
        <v>189</v>
      </c>
      <c r="L60" s="133" t="s">
        <v>436</v>
      </c>
      <c r="M60" s="53">
        <v>0.6</v>
      </c>
      <c r="N60" s="53"/>
      <c r="O60" s="53">
        <v>0.25</v>
      </c>
      <c r="P60" s="53">
        <v>0.25</v>
      </c>
      <c r="Q60" s="53">
        <v>0.25</v>
      </c>
      <c r="R60" s="53">
        <v>0.25</v>
      </c>
      <c r="S60" s="130" t="s">
        <v>513</v>
      </c>
      <c r="T60" s="127" t="s">
        <v>490</v>
      </c>
      <c r="U60" s="133" t="s">
        <v>492</v>
      </c>
      <c r="V60" s="179"/>
      <c r="W60" s="156"/>
      <c r="X60" s="157"/>
      <c r="Y60" s="116"/>
      <c r="Z60" s="157"/>
      <c r="AA60" s="157"/>
      <c r="AB60" s="31"/>
    </row>
    <row r="61" spans="1:28" s="57" customFormat="1" ht="257.25" customHeight="1">
      <c r="A61" s="34"/>
      <c r="B61" s="34"/>
      <c r="C61" s="34"/>
      <c r="D61" s="34"/>
      <c r="E61" s="34"/>
      <c r="F61" s="34"/>
      <c r="G61" s="128" t="s">
        <v>716</v>
      </c>
      <c r="H61" s="34"/>
      <c r="I61" s="34"/>
      <c r="J61" s="133" t="s">
        <v>190</v>
      </c>
      <c r="K61" s="133" t="s">
        <v>191</v>
      </c>
      <c r="L61" s="133" t="s">
        <v>437</v>
      </c>
      <c r="M61" s="53">
        <v>1</v>
      </c>
      <c r="N61" s="53">
        <v>0.75</v>
      </c>
      <c r="O61" s="53">
        <v>0.25</v>
      </c>
      <c r="P61" s="61"/>
      <c r="Q61" s="61"/>
      <c r="R61" s="61"/>
      <c r="S61" s="133" t="s">
        <v>540</v>
      </c>
      <c r="T61" s="133" t="s">
        <v>493</v>
      </c>
      <c r="U61" s="133" t="s">
        <v>514</v>
      </c>
      <c r="V61" s="179"/>
      <c r="W61" s="156">
        <v>1</v>
      </c>
      <c r="X61" s="157"/>
      <c r="Y61" s="116"/>
      <c r="Z61" s="157"/>
      <c r="AA61" s="157"/>
      <c r="AB61" s="31"/>
    </row>
    <row r="62" spans="1:28" s="57" customFormat="1" ht="315">
      <c r="A62" s="34"/>
      <c r="B62" s="34"/>
      <c r="C62" s="34"/>
      <c r="D62" s="34"/>
      <c r="E62" s="34"/>
      <c r="F62" s="34"/>
      <c r="G62" s="128" t="s">
        <v>716</v>
      </c>
      <c r="H62" s="34"/>
      <c r="I62" s="34"/>
      <c r="J62" s="133" t="s">
        <v>192</v>
      </c>
      <c r="K62" s="133" t="s">
        <v>193</v>
      </c>
      <c r="L62" s="133" t="s">
        <v>438</v>
      </c>
      <c r="M62" s="53">
        <v>1</v>
      </c>
      <c r="N62" s="113">
        <v>1</v>
      </c>
      <c r="O62" s="61"/>
      <c r="P62" s="61"/>
      <c r="Q62" s="61"/>
      <c r="R62" s="61"/>
      <c r="S62" s="133" t="s">
        <v>1863</v>
      </c>
      <c r="T62" s="133" t="s">
        <v>494</v>
      </c>
      <c r="U62" s="133" t="s">
        <v>515</v>
      </c>
      <c r="V62" s="133" t="s">
        <v>1013</v>
      </c>
      <c r="W62" s="156">
        <v>1</v>
      </c>
      <c r="X62" s="157"/>
      <c r="Y62" s="133" t="s">
        <v>1792</v>
      </c>
      <c r="Z62" s="157"/>
      <c r="AA62" s="157"/>
      <c r="AB62" s="31"/>
    </row>
    <row r="63" spans="1:28" s="57" customFormat="1" ht="255">
      <c r="A63" s="34"/>
      <c r="B63" s="34"/>
      <c r="C63" s="34"/>
      <c r="D63" s="34"/>
      <c r="E63" s="34"/>
      <c r="F63" s="34"/>
      <c r="G63" s="128" t="s">
        <v>716</v>
      </c>
      <c r="H63" s="133"/>
      <c r="I63" s="52"/>
      <c r="J63" s="133" t="s">
        <v>194</v>
      </c>
      <c r="K63" s="133" t="s">
        <v>195</v>
      </c>
      <c r="L63" s="133" t="s">
        <v>439</v>
      </c>
      <c r="M63" s="53">
        <v>0.25</v>
      </c>
      <c r="N63" s="53">
        <v>1</v>
      </c>
      <c r="O63" s="61"/>
      <c r="P63" s="61"/>
      <c r="Q63" s="61"/>
      <c r="R63" s="61"/>
      <c r="S63" s="133" t="s">
        <v>508</v>
      </c>
      <c r="T63" s="133" t="s">
        <v>495</v>
      </c>
      <c r="U63" s="133" t="s">
        <v>499</v>
      </c>
      <c r="V63" s="199"/>
      <c r="W63" s="156">
        <v>0.5</v>
      </c>
      <c r="X63" s="133" t="s">
        <v>1821</v>
      </c>
      <c r="Y63" s="157"/>
      <c r="Z63" s="157"/>
      <c r="AA63" s="157"/>
      <c r="AB63" s="31"/>
    </row>
    <row r="64" spans="1:28" s="57" customFormat="1" ht="255">
      <c r="A64" s="34"/>
      <c r="B64" s="34"/>
      <c r="C64" s="34"/>
      <c r="D64" s="34"/>
      <c r="E64" s="34"/>
      <c r="F64" s="34"/>
      <c r="G64" s="128" t="s">
        <v>716</v>
      </c>
      <c r="H64" s="34"/>
      <c r="I64" s="34"/>
      <c r="J64" s="133"/>
      <c r="K64" s="133" t="s">
        <v>204</v>
      </c>
      <c r="L64" s="133" t="s">
        <v>440</v>
      </c>
      <c r="M64" s="53">
        <v>0.25</v>
      </c>
      <c r="N64" s="53">
        <v>1</v>
      </c>
      <c r="O64" s="61"/>
      <c r="P64" s="61"/>
      <c r="Q64" s="61"/>
      <c r="R64" s="61"/>
      <c r="S64" s="133" t="s">
        <v>508</v>
      </c>
      <c r="T64" s="133" t="s">
        <v>495</v>
      </c>
      <c r="U64" s="133" t="s">
        <v>516</v>
      </c>
      <c r="V64" s="199"/>
      <c r="W64" s="156">
        <v>0.5</v>
      </c>
      <c r="X64" s="133" t="s">
        <v>1821</v>
      </c>
      <c r="Y64" s="157"/>
      <c r="Z64" s="157"/>
      <c r="AA64" s="157"/>
      <c r="AB64" s="31"/>
    </row>
    <row r="65" spans="1:28" s="57" customFormat="1" ht="225" hidden="1">
      <c r="A65" s="34"/>
      <c r="B65" s="34"/>
      <c r="C65" s="34"/>
      <c r="D65" s="34"/>
      <c r="E65" s="34"/>
      <c r="F65" s="34"/>
      <c r="G65" s="128" t="s">
        <v>716</v>
      </c>
      <c r="H65" s="34"/>
      <c r="I65" s="34"/>
      <c r="J65" s="133"/>
      <c r="K65" s="12" t="s">
        <v>0</v>
      </c>
      <c r="L65" s="133" t="s">
        <v>441</v>
      </c>
      <c r="M65" s="53">
        <v>0.5</v>
      </c>
      <c r="N65" s="53"/>
      <c r="O65" s="53">
        <v>0.25</v>
      </c>
      <c r="P65" s="53">
        <v>0.25</v>
      </c>
      <c r="Q65" s="53">
        <v>0.25</v>
      </c>
      <c r="R65" s="53">
        <v>0.25</v>
      </c>
      <c r="S65" s="133" t="s">
        <v>508</v>
      </c>
      <c r="T65" s="133" t="s">
        <v>496</v>
      </c>
      <c r="U65" s="133" t="s">
        <v>499</v>
      </c>
      <c r="V65" s="179"/>
      <c r="W65" s="156"/>
      <c r="X65" s="157"/>
      <c r="Y65" s="133" t="s">
        <v>1793</v>
      </c>
      <c r="Z65" s="157"/>
      <c r="AA65" s="157"/>
      <c r="AB65" s="31"/>
    </row>
    <row r="66" spans="1:28" s="57" customFormat="1" ht="195">
      <c r="A66" s="34"/>
      <c r="B66" s="34"/>
      <c r="C66" s="34"/>
      <c r="D66" s="34"/>
      <c r="E66" s="34"/>
      <c r="F66" s="34"/>
      <c r="G66" s="128" t="s">
        <v>716</v>
      </c>
      <c r="H66" s="34"/>
      <c r="I66" s="34"/>
      <c r="J66" s="133" t="s">
        <v>196</v>
      </c>
      <c r="K66" s="133" t="s">
        <v>197</v>
      </c>
      <c r="L66" s="133" t="s">
        <v>442</v>
      </c>
      <c r="M66" s="53">
        <v>0.25</v>
      </c>
      <c r="N66" s="113">
        <v>0.2</v>
      </c>
      <c r="O66" s="112">
        <v>0.2</v>
      </c>
      <c r="P66" s="53">
        <v>0.2</v>
      </c>
      <c r="Q66" s="53">
        <v>0.2</v>
      </c>
      <c r="R66" s="53">
        <v>0.2</v>
      </c>
      <c r="S66" s="133" t="s">
        <v>1271</v>
      </c>
      <c r="T66" s="133" t="s">
        <v>497</v>
      </c>
      <c r="U66" s="133" t="s">
        <v>498</v>
      </c>
      <c r="V66" s="59" t="s">
        <v>1014</v>
      </c>
      <c r="W66" s="53">
        <v>1</v>
      </c>
      <c r="X66" s="133"/>
      <c r="Y66" s="133" t="s">
        <v>1794</v>
      </c>
      <c r="Z66" s="157"/>
      <c r="AA66" s="157"/>
      <c r="AB66" s="31"/>
    </row>
    <row r="67" spans="1:28" s="57" customFormat="1" ht="300">
      <c r="A67" s="34"/>
      <c r="B67" s="34"/>
      <c r="C67" s="34"/>
      <c r="D67" s="34"/>
      <c r="E67" s="34"/>
      <c r="F67" s="34"/>
      <c r="G67" s="128" t="s">
        <v>716</v>
      </c>
      <c r="H67" s="34"/>
      <c r="I67" s="34"/>
      <c r="J67" s="133"/>
      <c r="K67" s="226" t="s">
        <v>198</v>
      </c>
      <c r="L67" s="133" t="s">
        <v>517</v>
      </c>
      <c r="M67" s="53">
        <v>0.25</v>
      </c>
      <c r="N67" s="113">
        <v>0.25</v>
      </c>
      <c r="O67" s="112">
        <v>0.25</v>
      </c>
      <c r="P67" s="53">
        <v>0.25</v>
      </c>
      <c r="Q67" s="53">
        <v>0.25</v>
      </c>
      <c r="R67" s="61"/>
      <c r="S67" s="133" t="s">
        <v>509</v>
      </c>
      <c r="T67" s="133" t="s">
        <v>497</v>
      </c>
      <c r="U67" s="133" t="s">
        <v>498</v>
      </c>
      <c r="V67" s="59" t="s">
        <v>1015</v>
      </c>
      <c r="W67" s="53">
        <v>0.61</v>
      </c>
      <c r="X67" s="234" t="s">
        <v>1820</v>
      </c>
      <c r="Y67" s="133" t="s">
        <v>1015</v>
      </c>
      <c r="Z67" s="157"/>
      <c r="AA67" s="157"/>
      <c r="AB67" s="31"/>
    </row>
    <row r="68" spans="1:28" s="57" customFormat="1" ht="255">
      <c r="A68" s="34"/>
      <c r="B68" s="34"/>
      <c r="C68" s="34"/>
      <c r="D68" s="34"/>
      <c r="E68" s="34"/>
      <c r="F68" s="34"/>
      <c r="G68" s="128" t="s">
        <v>716</v>
      </c>
      <c r="H68" s="34"/>
      <c r="I68" s="34"/>
      <c r="J68" s="133"/>
      <c r="K68" s="133" t="s">
        <v>199</v>
      </c>
      <c r="L68" s="133" t="s">
        <v>443</v>
      </c>
      <c r="M68" s="53">
        <v>0.25</v>
      </c>
      <c r="N68" s="113">
        <v>0.25</v>
      </c>
      <c r="O68" s="112">
        <v>0.25</v>
      </c>
      <c r="P68" s="53">
        <v>0.25</v>
      </c>
      <c r="Q68" s="53">
        <v>0.25</v>
      </c>
      <c r="R68" s="61"/>
      <c r="S68" s="133" t="s">
        <v>1272</v>
      </c>
      <c r="T68" s="133" t="s">
        <v>497</v>
      </c>
      <c r="U68" s="133" t="s">
        <v>498</v>
      </c>
      <c r="V68" s="59" t="s">
        <v>1016</v>
      </c>
      <c r="W68" s="53">
        <v>0.62</v>
      </c>
      <c r="X68" s="265"/>
      <c r="Y68" s="133" t="s">
        <v>1795</v>
      </c>
      <c r="Z68" s="157"/>
      <c r="AA68" s="157"/>
      <c r="AB68" s="31"/>
    </row>
    <row r="69" spans="1:28" s="57" customFormat="1" ht="135">
      <c r="A69" s="34"/>
      <c r="B69" s="34"/>
      <c r="C69" s="34"/>
      <c r="D69" s="34"/>
      <c r="E69" s="34"/>
      <c r="F69" s="34"/>
      <c r="G69" s="128" t="s">
        <v>716</v>
      </c>
      <c r="H69" s="34"/>
      <c r="I69" s="34"/>
      <c r="J69" s="133"/>
      <c r="K69" s="133" t="s">
        <v>200</v>
      </c>
      <c r="L69" s="133" t="s">
        <v>444</v>
      </c>
      <c r="M69" s="53">
        <v>0.25</v>
      </c>
      <c r="N69" s="53"/>
      <c r="O69" s="112">
        <v>0.25</v>
      </c>
      <c r="P69" s="53">
        <v>0.25</v>
      </c>
      <c r="Q69" s="53">
        <v>0.25</v>
      </c>
      <c r="R69" s="53">
        <v>0.25</v>
      </c>
      <c r="S69" s="74" t="s">
        <v>963</v>
      </c>
      <c r="T69" s="133" t="s">
        <v>741</v>
      </c>
      <c r="U69" s="133" t="s">
        <v>498</v>
      </c>
      <c r="V69" s="59" t="s">
        <v>1017</v>
      </c>
      <c r="W69" s="53">
        <v>0.63</v>
      </c>
      <c r="X69" s="266"/>
      <c r="Y69" s="133" t="s">
        <v>1796</v>
      </c>
      <c r="Z69" s="157"/>
      <c r="AA69" s="157"/>
      <c r="AB69" s="31"/>
    </row>
    <row r="70" spans="1:28" s="57" customFormat="1" ht="159" customHeight="1">
      <c r="A70" s="34"/>
      <c r="B70" s="34"/>
      <c r="C70" s="34"/>
      <c r="D70" s="34"/>
      <c r="E70" s="34"/>
      <c r="F70" s="34"/>
      <c r="G70" s="128" t="s">
        <v>716</v>
      </c>
      <c r="H70" s="133" t="s">
        <v>201</v>
      </c>
      <c r="I70" s="133" t="s">
        <v>518</v>
      </c>
      <c r="J70" s="108" t="s">
        <v>202</v>
      </c>
      <c r="K70" s="133" t="s">
        <v>203</v>
      </c>
      <c r="L70" s="133" t="s">
        <v>827</v>
      </c>
      <c r="M70" s="53">
        <v>1</v>
      </c>
      <c r="N70" s="113">
        <v>1</v>
      </c>
      <c r="O70" s="53">
        <v>1</v>
      </c>
      <c r="P70" s="53">
        <v>1</v>
      </c>
      <c r="Q70" s="53">
        <v>1</v>
      </c>
      <c r="R70" s="53">
        <v>1</v>
      </c>
      <c r="S70" s="133" t="s">
        <v>826</v>
      </c>
      <c r="T70" s="34"/>
      <c r="U70" s="133" t="s">
        <v>732</v>
      </c>
      <c r="V70" s="107" t="s">
        <v>1101</v>
      </c>
      <c r="W70" s="156">
        <v>1</v>
      </c>
      <c r="X70" s="157"/>
      <c r="Y70" s="116" t="s">
        <v>1797</v>
      </c>
      <c r="Z70" s="157"/>
      <c r="AA70" s="157"/>
      <c r="AB70" s="31"/>
    </row>
    <row r="71" spans="1:28" s="57" customFormat="1" ht="131.25" customHeight="1">
      <c r="A71" s="264" t="s">
        <v>1349</v>
      </c>
      <c r="B71" s="234" t="s">
        <v>1606</v>
      </c>
      <c r="C71" s="133" t="s">
        <v>1607</v>
      </c>
      <c r="D71" s="58">
        <v>40909</v>
      </c>
      <c r="E71" s="58">
        <v>44896</v>
      </c>
      <c r="F71" s="133" t="s">
        <v>1168</v>
      </c>
      <c r="G71" s="128" t="s">
        <v>716</v>
      </c>
      <c r="H71" s="133" t="s">
        <v>1460</v>
      </c>
      <c r="I71" s="34"/>
      <c r="J71" s="133" t="s">
        <v>1461</v>
      </c>
      <c r="K71" s="133" t="s">
        <v>1462</v>
      </c>
      <c r="L71" s="133" t="s">
        <v>1273</v>
      </c>
      <c r="M71" s="53">
        <v>0.25</v>
      </c>
      <c r="N71" s="53">
        <v>1</v>
      </c>
      <c r="O71" s="34"/>
      <c r="P71" s="34"/>
      <c r="Q71" s="34"/>
      <c r="R71" s="34"/>
      <c r="S71" s="133" t="s">
        <v>1168</v>
      </c>
      <c r="T71" s="34"/>
      <c r="U71" s="34"/>
      <c r="V71" s="59" t="s">
        <v>1836</v>
      </c>
      <c r="W71" s="156">
        <v>1</v>
      </c>
      <c r="X71" s="59"/>
      <c r="Y71" s="157"/>
      <c r="Z71" s="157"/>
      <c r="AA71" s="157"/>
      <c r="AB71" s="31"/>
    </row>
    <row r="72" spans="1:28" s="57" customFormat="1" ht="182.25" hidden="1" customHeight="1">
      <c r="A72" s="267"/>
      <c r="B72" s="269"/>
      <c r="C72" s="133" t="s">
        <v>1608</v>
      </c>
      <c r="D72" s="58">
        <v>40909</v>
      </c>
      <c r="E72" s="58">
        <v>44896</v>
      </c>
      <c r="F72" s="59" t="s">
        <v>1168</v>
      </c>
      <c r="G72" s="128" t="s">
        <v>716</v>
      </c>
      <c r="H72" s="34"/>
      <c r="I72" s="34"/>
      <c r="J72" s="133"/>
      <c r="K72" s="133" t="s">
        <v>1463</v>
      </c>
      <c r="L72" s="133" t="s">
        <v>1333</v>
      </c>
      <c r="M72" s="53">
        <v>0.25</v>
      </c>
      <c r="N72" s="34"/>
      <c r="O72" s="53">
        <v>1</v>
      </c>
      <c r="P72" s="34"/>
      <c r="Q72" s="34"/>
      <c r="R72" s="34"/>
      <c r="S72" s="133" t="s">
        <v>1168</v>
      </c>
      <c r="T72" s="133" t="s">
        <v>1669</v>
      </c>
      <c r="U72" s="133" t="s">
        <v>1668</v>
      </c>
      <c r="V72" s="31"/>
      <c r="W72" s="156"/>
      <c r="X72" s="157"/>
      <c r="Y72" s="157"/>
      <c r="Z72" s="157"/>
      <c r="AA72" s="157"/>
      <c r="AB72" s="31"/>
    </row>
    <row r="73" spans="1:28" s="57" customFormat="1" ht="165" customHeight="1">
      <c r="A73" s="267"/>
      <c r="B73" s="269"/>
      <c r="C73" s="133" t="s">
        <v>1609</v>
      </c>
      <c r="D73" s="58">
        <v>40909</v>
      </c>
      <c r="E73" s="58">
        <v>44896</v>
      </c>
      <c r="F73" s="59" t="s">
        <v>1168</v>
      </c>
      <c r="G73" s="128" t="s">
        <v>716</v>
      </c>
      <c r="H73" s="34"/>
      <c r="I73" s="34"/>
      <c r="J73" s="133"/>
      <c r="K73" s="133" t="s">
        <v>1464</v>
      </c>
      <c r="L73" s="133" t="s">
        <v>1334</v>
      </c>
      <c r="M73" s="53">
        <v>0.25</v>
      </c>
      <c r="N73" s="53">
        <v>0.2</v>
      </c>
      <c r="O73" s="53">
        <v>0.2</v>
      </c>
      <c r="P73" s="53">
        <v>0.2</v>
      </c>
      <c r="Q73" s="53">
        <v>0.2</v>
      </c>
      <c r="R73" s="53">
        <v>0.2</v>
      </c>
      <c r="S73" s="133" t="s">
        <v>1168</v>
      </c>
      <c r="T73" s="133" t="s">
        <v>1669</v>
      </c>
      <c r="U73" s="133" t="s">
        <v>1668</v>
      </c>
      <c r="V73" s="59" t="s">
        <v>1837</v>
      </c>
      <c r="W73" s="156">
        <v>1</v>
      </c>
      <c r="X73" s="157"/>
      <c r="Y73" s="157"/>
      <c r="Z73" s="157"/>
      <c r="AA73" s="157"/>
      <c r="AB73" s="31"/>
    </row>
    <row r="74" spans="1:28" s="57" customFormat="1" ht="139.5" customHeight="1">
      <c r="A74" s="268"/>
      <c r="B74" s="270"/>
      <c r="C74" s="133" t="s">
        <v>1610</v>
      </c>
      <c r="D74" s="58">
        <v>40909</v>
      </c>
      <c r="E74" s="58">
        <v>44896</v>
      </c>
      <c r="F74" s="59" t="s">
        <v>1168</v>
      </c>
      <c r="G74" s="128" t="s">
        <v>716</v>
      </c>
      <c r="H74" s="34"/>
      <c r="I74" s="34"/>
      <c r="J74" s="133"/>
      <c r="K74" s="133" t="s">
        <v>1465</v>
      </c>
      <c r="L74" s="133" t="s">
        <v>1335</v>
      </c>
      <c r="M74" s="53">
        <v>0.25</v>
      </c>
      <c r="N74" s="53">
        <v>0.2</v>
      </c>
      <c r="O74" s="53">
        <v>0.2</v>
      </c>
      <c r="P74" s="53">
        <v>0.2</v>
      </c>
      <c r="Q74" s="53">
        <v>0.2</v>
      </c>
      <c r="R74" s="53">
        <v>0.2</v>
      </c>
      <c r="S74" s="133" t="s">
        <v>1168</v>
      </c>
      <c r="T74" s="133" t="s">
        <v>1669</v>
      </c>
      <c r="U74" s="133" t="s">
        <v>1668</v>
      </c>
      <c r="V74" s="59" t="s">
        <v>1838</v>
      </c>
      <c r="W74" s="156">
        <v>1</v>
      </c>
      <c r="X74" s="157"/>
      <c r="Y74" s="157"/>
      <c r="Z74" s="157"/>
      <c r="AA74" s="157"/>
      <c r="AB74" s="31"/>
    </row>
    <row r="75" spans="1:28" s="57" customFormat="1" ht="166.5" customHeight="1">
      <c r="A75" s="264" t="s">
        <v>1241</v>
      </c>
      <c r="B75" s="234" t="s">
        <v>1611</v>
      </c>
      <c r="C75" s="133" t="s">
        <v>1612</v>
      </c>
      <c r="D75" s="58">
        <v>40909</v>
      </c>
      <c r="E75" s="58">
        <v>43800</v>
      </c>
      <c r="F75" s="59" t="s">
        <v>1168</v>
      </c>
      <c r="G75" s="128" t="s">
        <v>716</v>
      </c>
      <c r="H75" s="133" t="s">
        <v>1466</v>
      </c>
      <c r="I75" s="34"/>
      <c r="J75" s="108" t="s">
        <v>1467</v>
      </c>
      <c r="K75" s="133" t="s">
        <v>1468</v>
      </c>
      <c r="L75" s="133" t="s">
        <v>1273</v>
      </c>
      <c r="M75" s="53">
        <v>0.25</v>
      </c>
      <c r="N75" s="53">
        <v>1</v>
      </c>
      <c r="O75" s="34"/>
      <c r="P75" s="34"/>
      <c r="Q75" s="34"/>
      <c r="R75" s="34"/>
      <c r="S75" s="133" t="s">
        <v>1168</v>
      </c>
      <c r="T75" s="133" t="s">
        <v>1670</v>
      </c>
      <c r="U75" s="133" t="s">
        <v>1668</v>
      </c>
      <c r="V75" s="59" t="s">
        <v>1839</v>
      </c>
      <c r="W75" s="156">
        <v>1</v>
      </c>
      <c r="X75" s="157"/>
      <c r="Y75" s="157"/>
      <c r="Z75" s="157"/>
      <c r="AA75" s="157"/>
      <c r="AB75" s="31"/>
    </row>
    <row r="76" spans="1:28" s="57" customFormat="1" ht="218.25" customHeight="1">
      <c r="A76" s="269"/>
      <c r="B76" s="269"/>
      <c r="C76" s="133" t="s">
        <v>1613</v>
      </c>
      <c r="D76" s="58">
        <v>40909</v>
      </c>
      <c r="E76" s="58">
        <v>43800</v>
      </c>
      <c r="F76" s="59" t="s">
        <v>1168</v>
      </c>
      <c r="G76" s="128" t="s">
        <v>716</v>
      </c>
      <c r="H76" s="34"/>
      <c r="I76" s="34"/>
      <c r="J76" s="133"/>
      <c r="K76" s="226" t="s">
        <v>1469</v>
      </c>
      <c r="L76" s="133" t="s">
        <v>1333</v>
      </c>
      <c r="M76" s="53">
        <v>0.15</v>
      </c>
      <c r="N76" s="53">
        <v>1</v>
      </c>
      <c r="O76" s="34"/>
      <c r="P76" s="34"/>
      <c r="Q76" s="34"/>
      <c r="R76" s="34"/>
      <c r="S76" s="133" t="s">
        <v>1168</v>
      </c>
      <c r="T76" s="133" t="s">
        <v>1670</v>
      </c>
      <c r="U76" s="133" t="s">
        <v>1668</v>
      </c>
      <c r="V76" s="59" t="s">
        <v>1840</v>
      </c>
      <c r="W76" s="156">
        <v>0.5</v>
      </c>
      <c r="X76" s="157"/>
      <c r="Y76" s="157"/>
      <c r="Z76" s="157"/>
      <c r="AA76" s="157"/>
      <c r="AB76" s="31"/>
    </row>
    <row r="77" spans="1:28" s="57" customFormat="1" ht="182.25" customHeight="1">
      <c r="A77" s="269"/>
      <c r="B77" s="269"/>
      <c r="C77" s="133" t="s">
        <v>1614</v>
      </c>
      <c r="D77" s="58">
        <v>40909</v>
      </c>
      <c r="E77" s="58">
        <v>43800</v>
      </c>
      <c r="F77" s="59" t="s">
        <v>1168</v>
      </c>
      <c r="G77" s="128" t="s">
        <v>716</v>
      </c>
      <c r="H77" s="34"/>
      <c r="I77" s="34"/>
      <c r="J77" s="133"/>
      <c r="K77" s="133" t="s">
        <v>1470</v>
      </c>
      <c r="L77" s="133" t="s">
        <v>1335</v>
      </c>
      <c r="M77" s="53">
        <v>0.15</v>
      </c>
      <c r="N77" s="53">
        <v>0.2</v>
      </c>
      <c r="O77" s="53">
        <v>0.2</v>
      </c>
      <c r="P77" s="53">
        <v>0.2</v>
      </c>
      <c r="Q77" s="53">
        <v>0.2</v>
      </c>
      <c r="R77" s="53">
        <v>0.2</v>
      </c>
      <c r="S77" s="133" t="s">
        <v>1168</v>
      </c>
      <c r="T77" s="133" t="s">
        <v>1670</v>
      </c>
      <c r="U77" s="133" t="s">
        <v>1668</v>
      </c>
      <c r="V77" s="59" t="s">
        <v>1841</v>
      </c>
      <c r="W77" s="156">
        <v>1</v>
      </c>
      <c r="X77" s="157"/>
      <c r="Y77" s="157"/>
      <c r="Z77" s="157"/>
      <c r="AA77" s="157"/>
      <c r="AB77" s="31"/>
    </row>
    <row r="78" spans="1:28" s="57" customFormat="1" ht="233.25" customHeight="1">
      <c r="A78" s="269"/>
      <c r="B78" s="269"/>
      <c r="C78" s="133" t="s">
        <v>1615</v>
      </c>
      <c r="D78" s="58">
        <v>40909</v>
      </c>
      <c r="E78" s="58">
        <v>43800</v>
      </c>
      <c r="F78" s="59" t="s">
        <v>1168</v>
      </c>
      <c r="G78" s="128" t="s">
        <v>716</v>
      </c>
      <c r="H78" s="34"/>
      <c r="I78" s="34"/>
      <c r="J78" s="133"/>
      <c r="K78" s="226" t="s">
        <v>1471</v>
      </c>
      <c r="L78" s="133" t="s">
        <v>1333</v>
      </c>
      <c r="M78" s="53">
        <v>0.25</v>
      </c>
      <c r="N78" s="53">
        <v>1</v>
      </c>
      <c r="O78" s="34"/>
      <c r="P78" s="34"/>
      <c r="Q78" s="34"/>
      <c r="R78" s="34"/>
      <c r="S78" s="133" t="s">
        <v>1168</v>
      </c>
      <c r="T78" s="133" t="s">
        <v>1670</v>
      </c>
      <c r="U78" s="133" t="s">
        <v>1668</v>
      </c>
      <c r="V78" s="59" t="s">
        <v>1842</v>
      </c>
      <c r="W78" s="156">
        <v>0.5</v>
      </c>
      <c r="X78" s="157"/>
      <c r="Y78" s="157"/>
      <c r="Z78" s="157"/>
      <c r="AA78" s="157"/>
      <c r="AB78" s="31"/>
    </row>
    <row r="79" spans="1:28" s="57" customFormat="1" ht="154.5" hidden="1" customHeight="1">
      <c r="A79" s="270"/>
      <c r="B79" s="270"/>
      <c r="C79" s="133" t="s">
        <v>1616</v>
      </c>
      <c r="D79" s="58">
        <v>40909</v>
      </c>
      <c r="E79" s="58">
        <v>43800</v>
      </c>
      <c r="F79" s="59" t="s">
        <v>1168</v>
      </c>
      <c r="G79" s="128" t="s">
        <v>716</v>
      </c>
      <c r="H79" s="34"/>
      <c r="I79" s="34"/>
      <c r="J79" s="133"/>
      <c r="K79" s="133" t="s">
        <v>1472</v>
      </c>
      <c r="L79" s="133" t="s">
        <v>1335</v>
      </c>
      <c r="M79" s="53">
        <v>0.2</v>
      </c>
      <c r="N79" s="53"/>
      <c r="O79" s="53">
        <v>0.25</v>
      </c>
      <c r="P79" s="53">
        <v>0.25</v>
      </c>
      <c r="Q79" s="53">
        <v>0.25</v>
      </c>
      <c r="R79" s="53">
        <v>0.25</v>
      </c>
      <c r="S79" s="133" t="s">
        <v>1168</v>
      </c>
      <c r="T79" s="133" t="s">
        <v>1670</v>
      </c>
      <c r="U79" s="133" t="s">
        <v>1668</v>
      </c>
      <c r="V79" s="59" t="s">
        <v>1843</v>
      </c>
      <c r="W79" s="156">
        <v>1</v>
      </c>
      <c r="X79" s="157"/>
      <c r="Y79" s="157"/>
      <c r="Z79" s="157"/>
      <c r="AA79" s="157"/>
      <c r="AB79" s="31"/>
    </row>
    <row r="80" spans="1:28" s="57" customFormat="1" ht="206.25" hidden="1" customHeight="1">
      <c r="A80" s="264" t="s">
        <v>1241</v>
      </c>
      <c r="B80" s="234" t="s">
        <v>1618</v>
      </c>
      <c r="C80" s="133" t="s">
        <v>1622</v>
      </c>
      <c r="D80" s="58">
        <v>40909</v>
      </c>
      <c r="E80" s="58">
        <v>43070</v>
      </c>
      <c r="F80" s="59" t="s">
        <v>1168</v>
      </c>
      <c r="G80" s="128" t="s">
        <v>716</v>
      </c>
      <c r="H80" s="133" t="s">
        <v>1617</v>
      </c>
      <c r="I80" s="34"/>
      <c r="J80" s="108" t="s">
        <v>1619</v>
      </c>
      <c r="K80" s="133" t="s">
        <v>1620</v>
      </c>
      <c r="L80" s="133" t="s">
        <v>1337</v>
      </c>
      <c r="M80" s="53">
        <v>1</v>
      </c>
      <c r="N80" s="34"/>
      <c r="O80" s="53">
        <v>1</v>
      </c>
      <c r="P80" s="34"/>
      <c r="Q80" s="34"/>
      <c r="R80" s="34"/>
      <c r="S80" s="133" t="s">
        <v>1168</v>
      </c>
      <c r="T80" s="133" t="s">
        <v>1671</v>
      </c>
      <c r="U80" s="133" t="s">
        <v>1668</v>
      </c>
      <c r="V80" s="204"/>
      <c r="W80" s="156"/>
      <c r="X80" s="157"/>
      <c r="Y80" s="157"/>
      <c r="Z80" s="157"/>
      <c r="AA80" s="157"/>
      <c r="AB80" s="31"/>
    </row>
    <row r="81" spans="1:28" s="57" customFormat="1" ht="181.5" customHeight="1">
      <c r="A81" s="270"/>
      <c r="B81" s="270"/>
      <c r="C81" s="133" t="s">
        <v>1621</v>
      </c>
      <c r="D81" s="58">
        <v>40909</v>
      </c>
      <c r="E81" s="58">
        <v>43070</v>
      </c>
      <c r="F81" s="59" t="s">
        <v>1168</v>
      </c>
      <c r="G81" s="128" t="s">
        <v>716</v>
      </c>
      <c r="H81" s="34"/>
      <c r="I81" s="34"/>
      <c r="J81" s="108" t="s">
        <v>1681</v>
      </c>
      <c r="K81" s="133" t="s">
        <v>1623</v>
      </c>
      <c r="L81" s="133" t="s">
        <v>1335</v>
      </c>
      <c r="M81" s="53">
        <v>1</v>
      </c>
      <c r="N81" s="53">
        <v>0.2</v>
      </c>
      <c r="O81" s="53">
        <v>0.2</v>
      </c>
      <c r="P81" s="53">
        <v>0.2</v>
      </c>
      <c r="Q81" s="53">
        <v>0.2</v>
      </c>
      <c r="R81" s="53">
        <v>0.2</v>
      </c>
      <c r="S81" s="133" t="s">
        <v>1168</v>
      </c>
      <c r="T81" s="133" t="s">
        <v>1671</v>
      </c>
      <c r="U81" s="133" t="s">
        <v>1668</v>
      </c>
      <c r="V81" s="59" t="s">
        <v>1843</v>
      </c>
      <c r="W81" s="156">
        <v>1</v>
      </c>
      <c r="X81" s="157"/>
      <c r="Y81" s="157"/>
      <c r="Z81" s="157"/>
      <c r="AA81" s="157"/>
      <c r="AB81" s="31"/>
    </row>
    <row r="82" spans="1:28" s="57" customFormat="1" ht="138" hidden="1" customHeight="1">
      <c r="A82" s="264" t="s">
        <v>1350</v>
      </c>
      <c r="B82" s="234" t="s">
        <v>1624</v>
      </c>
      <c r="C82" s="133" t="s">
        <v>1628</v>
      </c>
      <c r="D82" s="58">
        <v>40909</v>
      </c>
      <c r="E82" s="58">
        <v>44896</v>
      </c>
      <c r="F82" s="59" t="s">
        <v>1168</v>
      </c>
      <c r="G82" s="128" t="s">
        <v>716</v>
      </c>
      <c r="H82" s="133" t="s">
        <v>1625</v>
      </c>
      <c r="I82" s="34"/>
      <c r="J82" s="108" t="s">
        <v>1626</v>
      </c>
      <c r="K82" s="133" t="s">
        <v>1627</v>
      </c>
      <c r="L82" s="133" t="s">
        <v>1287</v>
      </c>
      <c r="M82" s="53">
        <v>0.5</v>
      </c>
      <c r="N82" s="34"/>
      <c r="O82" s="53">
        <v>1</v>
      </c>
      <c r="P82" s="34"/>
      <c r="Q82" s="34"/>
      <c r="R82" s="34"/>
      <c r="S82" s="133" t="s">
        <v>1168</v>
      </c>
      <c r="T82" s="133" t="s">
        <v>1672</v>
      </c>
      <c r="U82" s="133" t="s">
        <v>1673</v>
      </c>
      <c r="V82" s="204"/>
      <c r="W82" s="156"/>
      <c r="X82" s="157"/>
      <c r="Y82" s="157"/>
      <c r="Z82" s="157"/>
      <c r="AA82" s="157"/>
      <c r="AB82" s="31"/>
    </row>
    <row r="83" spans="1:28" s="57" customFormat="1" ht="159.75" hidden="1" customHeight="1">
      <c r="A83" s="269"/>
      <c r="B83" s="269"/>
      <c r="C83" s="133" t="s">
        <v>1631</v>
      </c>
      <c r="D83" s="58">
        <v>40909</v>
      </c>
      <c r="E83" s="58">
        <v>44896</v>
      </c>
      <c r="F83" s="59" t="s">
        <v>1168</v>
      </c>
      <c r="G83" s="128" t="s">
        <v>716</v>
      </c>
      <c r="H83" s="34"/>
      <c r="I83" s="34"/>
      <c r="J83" s="133"/>
      <c r="K83" s="133" t="s">
        <v>1629</v>
      </c>
      <c r="L83" s="133" t="s">
        <v>1339</v>
      </c>
      <c r="M83" s="53">
        <v>0.25</v>
      </c>
      <c r="N83" s="34"/>
      <c r="O83" s="34"/>
      <c r="P83" s="53">
        <v>0.33</v>
      </c>
      <c r="Q83" s="53">
        <v>0.33</v>
      </c>
      <c r="R83" s="53">
        <v>0.34</v>
      </c>
      <c r="S83" s="133" t="s">
        <v>1168</v>
      </c>
      <c r="T83" s="133" t="s">
        <v>1672</v>
      </c>
      <c r="U83" s="133" t="s">
        <v>1673</v>
      </c>
      <c r="V83" s="204"/>
      <c r="W83" s="156"/>
      <c r="X83" s="157"/>
      <c r="Y83" s="157"/>
      <c r="Z83" s="157"/>
      <c r="AA83" s="157"/>
      <c r="AB83" s="31"/>
    </row>
    <row r="84" spans="1:28" s="57" customFormat="1" ht="115.5" hidden="1" customHeight="1">
      <c r="A84" s="269"/>
      <c r="B84" s="269"/>
      <c r="C84" s="133" t="s">
        <v>1632</v>
      </c>
      <c r="D84" s="58">
        <v>40909</v>
      </c>
      <c r="E84" s="58">
        <v>44896</v>
      </c>
      <c r="F84" s="59" t="s">
        <v>1168</v>
      </c>
      <c r="G84" s="128" t="s">
        <v>716</v>
      </c>
      <c r="H84" s="34"/>
      <c r="I84" s="34"/>
      <c r="J84" s="133"/>
      <c r="K84" s="133" t="s">
        <v>1630</v>
      </c>
      <c r="L84" s="34"/>
      <c r="M84" s="53">
        <v>0.25</v>
      </c>
      <c r="N84" s="34"/>
      <c r="O84" s="53">
        <v>0.5</v>
      </c>
      <c r="P84" s="34"/>
      <c r="Q84" s="53">
        <v>0.5</v>
      </c>
      <c r="R84" s="34"/>
      <c r="S84" s="133" t="s">
        <v>1168</v>
      </c>
      <c r="T84" s="133" t="s">
        <v>1672</v>
      </c>
      <c r="U84" s="133" t="s">
        <v>1673</v>
      </c>
      <c r="V84" s="204"/>
      <c r="W84" s="156"/>
      <c r="X84" s="157"/>
      <c r="Y84" s="157"/>
      <c r="Z84" s="157"/>
      <c r="AA84" s="157"/>
      <c r="AB84" s="31"/>
    </row>
    <row r="85" spans="1:28" s="57" customFormat="1" ht="210" hidden="1" customHeight="1">
      <c r="A85" s="271" t="s">
        <v>1243</v>
      </c>
      <c r="B85" s="234" t="s">
        <v>1633</v>
      </c>
      <c r="C85" s="133" t="s">
        <v>1638</v>
      </c>
      <c r="D85" s="58">
        <v>40909</v>
      </c>
      <c r="E85" s="58">
        <v>44896</v>
      </c>
      <c r="F85" s="59" t="s">
        <v>1168</v>
      </c>
      <c r="G85" s="128" t="s">
        <v>716</v>
      </c>
      <c r="H85" s="133" t="s">
        <v>1634</v>
      </c>
      <c r="I85" s="34"/>
      <c r="J85" s="108" t="s">
        <v>1635</v>
      </c>
      <c r="K85" s="133" t="s">
        <v>1636</v>
      </c>
      <c r="L85" s="133" t="s">
        <v>1287</v>
      </c>
      <c r="M85" s="53">
        <v>0.7</v>
      </c>
      <c r="N85" s="34"/>
      <c r="O85" s="53">
        <v>1</v>
      </c>
      <c r="P85" s="34"/>
      <c r="Q85" s="34"/>
      <c r="R85" s="34"/>
      <c r="S85" s="133" t="s">
        <v>1168</v>
      </c>
      <c r="T85" s="133" t="s">
        <v>1674</v>
      </c>
      <c r="U85" s="133" t="s">
        <v>1673</v>
      </c>
      <c r="V85" s="204"/>
      <c r="W85" s="156"/>
      <c r="X85" s="157"/>
      <c r="Y85" s="157"/>
      <c r="Z85" s="157"/>
      <c r="AA85" s="157"/>
      <c r="AB85" s="31"/>
    </row>
    <row r="86" spans="1:28" s="57" customFormat="1" ht="150" hidden="1" customHeight="1">
      <c r="A86" s="288"/>
      <c r="B86" s="269"/>
      <c r="C86" s="133" t="s">
        <v>1639</v>
      </c>
      <c r="D86" s="58">
        <v>40909</v>
      </c>
      <c r="E86" s="58">
        <v>44896</v>
      </c>
      <c r="F86" s="59" t="s">
        <v>1168</v>
      </c>
      <c r="G86" s="128" t="s">
        <v>716</v>
      </c>
      <c r="H86" s="34"/>
      <c r="I86" s="34"/>
      <c r="J86" s="133"/>
      <c r="K86" s="133" t="s">
        <v>1637</v>
      </c>
      <c r="L86" s="133" t="s">
        <v>1341</v>
      </c>
      <c r="M86" s="53">
        <v>0.3</v>
      </c>
      <c r="N86" s="34"/>
      <c r="O86" s="53">
        <v>1</v>
      </c>
      <c r="P86" s="34"/>
      <c r="Q86" s="34"/>
      <c r="R86" s="34"/>
      <c r="S86" s="133" t="s">
        <v>1168</v>
      </c>
      <c r="T86" s="133" t="s">
        <v>1674</v>
      </c>
      <c r="U86" s="133" t="s">
        <v>1673</v>
      </c>
      <c r="V86" s="204"/>
      <c r="W86" s="156"/>
      <c r="X86" s="157"/>
      <c r="Y86" s="157"/>
      <c r="Z86" s="157"/>
      <c r="AA86" s="157"/>
      <c r="AB86" s="31"/>
    </row>
    <row r="87" spans="1:28" s="57" customFormat="1" ht="239.25" hidden="1" customHeight="1">
      <c r="A87" s="288"/>
      <c r="B87" s="269"/>
      <c r="C87" s="133" t="s">
        <v>1205</v>
      </c>
      <c r="D87" s="58">
        <v>40909</v>
      </c>
      <c r="E87" s="58">
        <v>44896</v>
      </c>
      <c r="F87" s="59" t="s">
        <v>1168</v>
      </c>
      <c r="G87" s="128" t="s">
        <v>716</v>
      </c>
      <c r="H87" s="34"/>
      <c r="I87" s="34"/>
      <c r="J87" s="133"/>
      <c r="K87" s="133"/>
      <c r="L87" s="34"/>
      <c r="M87" s="34"/>
      <c r="N87" s="34"/>
      <c r="O87" s="34"/>
      <c r="P87" s="34"/>
      <c r="Q87" s="34"/>
      <c r="R87" s="34"/>
      <c r="S87" s="133" t="s">
        <v>1168</v>
      </c>
      <c r="T87" s="34"/>
      <c r="U87" s="34"/>
      <c r="V87" s="204"/>
      <c r="W87" s="156"/>
      <c r="X87" s="157"/>
      <c r="Y87" s="157"/>
      <c r="Z87" s="157"/>
      <c r="AA87" s="157"/>
      <c r="AB87" s="31"/>
    </row>
    <row r="88" spans="1:28" s="57" customFormat="1" ht="114.75" hidden="1" customHeight="1">
      <c r="A88" s="288"/>
      <c r="B88" s="270"/>
      <c r="C88" s="133" t="s">
        <v>1206</v>
      </c>
      <c r="D88" s="58">
        <v>40909</v>
      </c>
      <c r="E88" s="58">
        <v>44896</v>
      </c>
      <c r="F88" s="59" t="s">
        <v>1168</v>
      </c>
      <c r="G88" s="128" t="s">
        <v>716</v>
      </c>
      <c r="H88" s="34"/>
      <c r="I88" s="34"/>
      <c r="J88" s="133"/>
      <c r="K88" s="133"/>
      <c r="L88" s="34"/>
      <c r="M88" s="34"/>
      <c r="N88" s="34"/>
      <c r="O88" s="34"/>
      <c r="P88" s="34"/>
      <c r="Q88" s="34"/>
      <c r="R88" s="34"/>
      <c r="S88" s="133" t="s">
        <v>1168</v>
      </c>
      <c r="T88" s="34"/>
      <c r="U88" s="34"/>
      <c r="V88" s="204"/>
      <c r="W88" s="156"/>
      <c r="X88" s="157"/>
      <c r="Y88" s="157"/>
      <c r="Z88" s="157"/>
      <c r="AA88" s="157"/>
      <c r="AB88" s="31"/>
    </row>
    <row r="89" spans="1:28" s="57" customFormat="1" ht="274.5" hidden="1" customHeight="1">
      <c r="A89" s="267" t="s">
        <v>1243</v>
      </c>
      <c r="B89" s="234" t="s">
        <v>1645</v>
      </c>
      <c r="C89" s="133" t="s">
        <v>1646</v>
      </c>
      <c r="D89" s="58">
        <v>40909</v>
      </c>
      <c r="E89" s="58">
        <v>44896</v>
      </c>
      <c r="F89" s="59" t="s">
        <v>1168</v>
      </c>
      <c r="G89" s="128" t="s">
        <v>716</v>
      </c>
      <c r="H89" s="133" t="s">
        <v>1640</v>
      </c>
      <c r="I89" s="34"/>
      <c r="J89" s="108" t="s">
        <v>1641</v>
      </c>
      <c r="K89" s="133" t="s">
        <v>1642</v>
      </c>
      <c r="L89" s="133" t="s">
        <v>1287</v>
      </c>
      <c r="M89" s="53">
        <v>0.5</v>
      </c>
      <c r="N89" s="34"/>
      <c r="O89" s="34"/>
      <c r="P89" s="34"/>
      <c r="Q89" s="53">
        <v>1</v>
      </c>
      <c r="R89" s="34"/>
      <c r="S89" s="133" t="s">
        <v>1168</v>
      </c>
      <c r="T89" s="133" t="s">
        <v>1675</v>
      </c>
      <c r="U89" s="133" t="s">
        <v>1673</v>
      </c>
      <c r="V89" s="204"/>
      <c r="W89" s="156"/>
      <c r="X89" s="157"/>
      <c r="Y89" s="157"/>
      <c r="Z89" s="157"/>
      <c r="AA89" s="157"/>
      <c r="AB89" s="31"/>
    </row>
    <row r="90" spans="1:28" s="57" customFormat="1" ht="216.75" hidden="1" customHeight="1">
      <c r="A90" s="269"/>
      <c r="B90" s="269"/>
      <c r="C90" s="133" t="s">
        <v>1647</v>
      </c>
      <c r="D90" s="58">
        <v>40909</v>
      </c>
      <c r="E90" s="58">
        <v>44896</v>
      </c>
      <c r="F90" s="59" t="s">
        <v>1168</v>
      </c>
      <c r="G90" s="128" t="s">
        <v>716</v>
      </c>
      <c r="H90" s="34"/>
      <c r="I90" s="34"/>
      <c r="J90" s="133"/>
      <c r="K90" s="133" t="s">
        <v>1643</v>
      </c>
      <c r="L90" s="133" t="s">
        <v>1343</v>
      </c>
      <c r="M90" s="53">
        <v>0.25</v>
      </c>
      <c r="N90" s="34"/>
      <c r="O90" s="34"/>
      <c r="P90" s="34"/>
      <c r="Q90" s="34"/>
      <c r="R90" s="53">
        <v>1</v>
      </c>
      <c r="S90" s="133" t="s">
        <v>1168</v>
      </c>
      <c r="T90" s="133" t="s">
        <v>1675</v>
      </c>
      <c r="U90" s="133" t="s">
        <v>1673</v>
      </c>
      <c r="V90" s="204"/>
      <c r="W90" s="156"/>
      <c r="X90" s="157"/>
      <c r="Y90" s="157"/>
      <c r="Z90" s="157"/>
      <c r="AA90" s="157"/>
      <c r="AB90" s="31"/>
    </row>
    <row r="91" spans="1:28" s="57" customFormat="1" ht="184.5" hidden="1" customHeight="1">
      <c r="A91" s="270"/>
      <c r="B91" s="270"/>
      <c r="C91" s="133" t="s">
        <v>1648</v>
      </c>
      <c r="D91" s="58">
        <v>40909</v>
      </c>
      <c r="E91" s="58">
        <v>44896</v>
      </c>
      <c r="F91" s="59" t="s">
        <v>1168</v>
      </c>
      <c r="G91" s="128" t="s">
        <v>716</v>
      </c>
      <c r="H91" s="34"/>
      <c r="I91" s="34"/>
      <c r="J91" s="133"/>
      <c r="K91" s="133" t="s">
        <v>1644</v>
      </c>
      <c r="L91" s="133" t="s">
        <v>1343</v>
      </c>
      <c r="M91" s="53">
        <v>0.25</v>
      </c>
      <c r="N91" s="34"/>
      <c r="O91" s="34"/>
      <c r="P91" s="53">
        <v>1</v>
      </c>
      <c r="Q91" s="34"/>
      <c r="R91" s="34"/>
      <c r="S91" s="133" t="s">
        <v>1168</v>
      </c>
      <c r="T91" s="133" t="s">
        <v>1675</v>
      </c>
      <c r="U91" s="133" t="s">
        <v>1673</v>
      </c>
      <c r="V91" s="204"/>
      <c r="W91" s="156"/>
      <c r="X91" s="157"/>
      <c r="Y91" s="157"/>
      <c r="Z91" s="157"/>
      <c r="AA91" s="157"/>
      <c r="AB91" s="31"/>
    </row>
  </sheetData>
  <protectedRanges>
    <protectedRange sqref="V52" name="Rango1_4_7"/>
    <protectedRange sqref="V66" name="Rango1_4_1_4"/>
    <protectedRange sqref="V67" name="Rango1_4_2_4"/>
    <protectedRange sqref="V68" name="Rango1_4_3_4"/>
    <protectedRange sqref="V69" name="Rango1_4_4_4"/>
    <protectedRange sqref="Y10:Y11" name="Rango1_4_5_1"/>
    <protectedRange sqref="Z28" name="Rango1_4_6_1"/>
    <protectedRange sqref="Y31" name="Rango1_4_7_1"/>
    <protectedRange sqref="Y52" name="Rango1_4_8"/>
    <protectedRange sqref="Y66" name="Rango1_4_9"/>
    <protectedRange sqref="Y67" name="Rango1_4_10"/>
    <protectedRange sqref="Y68" name="Rango1_4_11"/>
    <protectedRange sqref="Y69" name="Rango1_4_12"/>
  </protectedRanges>
  <mergeCells count="67">
    <mergeCell ref="A7:F7"/>
    <mergeCell ref="A8:A9"/>
    <mergeCell ref="B8:B9"/>
    <mergeCell ref="C8:C9"/>
    <mergeCell ref="D8:E8"/>
    <mergeCell ref="F8:F9"/>
    <mergeCell ref="U24:U25"/>
    <mergeCell ref="S20:S22"/>
    <mergeCell ref="U37:U38"/>
    <mergeCell ref="S42:S44"/>
    <mergeCell ref="T42:T43"/>
    <mergeCell ref="S39:S40"/>
    <mergeCell ref="T39:T40"/>
    <mergeCell ref="S26:S28"/>
    <mergeCell ref="T26:T28"/>
    <mergeCell ref="U26:U27"/>
    <mergeCell ref="U44:U45"/>
    <mergeCell ref="U42:U43"/>
    <mergeCell ref="H8:H9"/>
    <mergeCell ref="I8:I9"/>
    <mergeCell ref="J8:J9"/>
    <mergeCell ref="K8:K9"/>
    <mergeCell ref="H6:T6"/>
    <mergeCell ref="G7:U7"/>
    <mergeCell ref="G8:G9"/>
    <mergeCell ref="N8:R8"/>
    <mergeCell ref="S53:S55"/>
    <mergeCell ref="L8:L9"/>
    <mergeCell ref="M8:M9"/>
    <mergeCell ref="U8:U9"/>
    <mergeCell ref="U49:U50"/>
    <mergeCell ref="T20:T22"/>
    <mergeCell ref="U20:U22"/>
    <mergeCell ref="S17:S19"/>
    <mergeCell ref="T17:T19"/>
    <mergeCell ref="U17:U19"/>
    <mergeCell ref="S8:S9"/>
    <mergeCell ref="T8:T9"/>
    <mergeCell ref="U53:U55"/>
    <mergeCell ref="S46:S47"/>
    <mergeCell ref="T46:T47"/>
    <mergeCell ref="U46:U47"/>
    <mergeCell ref="A10:A13"/>
    <mergeCell ref="A82:A84"/>
    <mergeCell ref="A85:A88"/>
    <mergeCell ref="A89:A91"/>
    <mergeCell ref="B82:B84"/>
    <mergeCell ref="B85:B88"/>
    <mergeCell ref="B89:B91"/>
    <mergeCell ref="B71:B74"/>
    <mergeCell ref="A71:A74"/>
    <mergeCell ref="B75:B79"/>
    <mergeCell ref="A75:A79"/>
    <mergeCell ref="A80:A81"/>
    <mergeCell ref="B80:B81"/>
    <mergeCell ref="X67:X69"/>
    <mergeCell ref="Y21:Y22"/>
    <mergeCell ref="V6:X6"/>
    <mergeCell ref="Y6:AA6"/>
    <mergeCell ref="AA8:AA9"/>
    <mergeCell ref="V8:V9"/>
    <mergeCell ref="W8:W9"/>
    <mergeCell ref="X8:X9"/>
    <mergeCell ref="Y8:Y9"/>
    <mergeCell ref="Z8:Z9"/>
    <mergeCell ref="V7:X7"/>
    <mergeCell ref="Y7:AA7"/>
  </mergeCells>
  <phoneticPr fontId="7" type="noConversion"/>
  <printOptions horizontalCentered="1" verticalCentered="1"/>
  <pageMargins left="0.19685039370078741" right="0.15748031496062992" top="0.43307086614173229" bottom="0.39370078740157483" header="0.31496062992125984" footer="0.31496062992125984"/>
  <pageSetup scale="50" orientation="landscape" r:id="rId1"/>
  <legacyDrawing r:id="rId2"/>
</worksheet>
</file>

<file path=xl/worksheets/sheet8.xml><?xml version="1.0" encoding="utf-8"?>
<worksheet xmlns="http://schemas.openxmlformats.org/spreadsheetml/2006/main" xmlns:r="http://schemas.openxmlformats.org/officeDocument/2006/relationships">
  <dimension ref="A1:G95"/>
  <sheetViews>
    <sheetView workbookViewId="0">
      <pane ySplit="3" topLeftCell="A4" activePane="bottomLeft" state="frozen"/>
      <selection pane="bottomLeft" activeCell="C88" sqref="C88"/>
    </sheetView>
  </sheetViews>
  <sheetFormatPr baseColWidth="10" defaultRowHeight="15"/>
  <cols>
    <col min="1" max="1" width="21.5703125" customWidth="1"/>
    <col min="2" max="3" width="23.140625" customWidth="1"/>
    <col min="4" max="4" width="10.42578125" customWidth="1"/>
    <col min="5" max="5" width="9" customWidth="1"/>
    <col min="6" max="6" width="16.28515625" customWidth="1"/>
    <col min="7" max="7" width="16.7109375" customWidth="1"/>
  </cols>
  <sheetData>
    <row r="1" spans="1:7">
      <c r="A1" s="252" t="s">
        <v>1102</v>
      </c>
      <c r="B1" s="252"/>
      <c r="C1" s="252"/>
      <c r="D1" s="252"/>
      <c r="E1" s="252"/>
      <c r="F1" s="253"/>
    </row>
    <row r="2" spans="1:7">
      <c r="A2" s="258" t="s">
        <v>1236</v>
      </c>
      <c r="B2" s="258" t="s">
        <v>703</v>
      </c>
      <c r="C2" s="258" t="s">
        <v>700</v>
      </c>
      <c r="D2" s="294" t="s">
        <v>701</v>
      </c>
      <c r="E2" s="295"/>
      <c r="F2" s="258" t="s">
        <v>704</v>
      </c>
    </row>
    <row r="3" spans="1:7">
      <c r="A3" s="293"/>
      <c r="B3" s="293"/>
      <c r="C3" s="293"/>
      <c r="D3" s="33" t="s">
        <v>1107</v>
      </c>
      <c r="E3" s="33" t="s">
        <v>1108</v>
      </c>
      <c r="F3" s="293"/>
    </row>
    <row r="4" spans="1:7">
      <c r="A4" s="264" t="s">
        <v>1237</v>
      </c>
      <c r="B4" s="277" t="s">
        <v>1133</v>
      </c>
      <c r="C4" s="277" t="s">
        <v>1132</v>
      </c>
      <c r="D4" s="352">
        <v>40909</v>
      </c>
      <c r="E4" s="352">
        <v>44896</v>
      </c>
      <c r="F4" s="277" t="s">
        <v>1253</v>
      </c>
      <c r="G4" s="335" t="s">
        <v>1251</v>
      </c>
    </row>
    <row r="5" spans="1:7">
      <c r="A5" s="350"/>
      <c r="B5" s="237"/>
      <c r="C5" s="237"/>
      <c r="D5" s="353"/>
      <c r="E5" s="353"/>
      <c r="F5" s="237"/>
      <c r="G5" s="336"/>
    </row>
    <row r="6" spans="1:7" ht="144.75" customHeight="1">
      <c r="A6" s="351"/>
      <c r="B6" s="238"/>
      <c r="C6" s="238"/>
      <c r="D6" s="354"/>
      <c r="E6" s="354"/>
      <c r="F6" s="238"/>
      <c r="G6" s="337"/>
    </row>
    <row r="7" spans="1:7" ht="150">
      <c r="A7" s="36" t="s">
        <v>1238</v>
      </c>
      <c r="B7" s="35" t="s">
        <v>1104</v>
      </c>
      <c r="C7" s="35" t="s">
        <v>1105</v>
      </c>
      <c r="D7" s="37">
        <v>40909</v>
      </c>
      <c r="E7" s="37">
        <v>44896</v>
      </c>
      <c r="F7" s="277" t="s">
        <v>1120</v>
      </c>
      <c r="G7" s="44" t="s">
        <v>1247</v>
      </c>
    </row>
    <row r="8" spans="1:7" ht="165">
      <c r="A8" s="349" t="s">
        <v>1238</v>
      </c>
      <c r="B8" s="35" t="s">
        <v>1104</v>
      </c>
      <c r="C8" s="35" t="s">
        <v>1106</v>
      </c>
      <c r="D8" s="37">
        <v>40909</v>
      </c>
      <c r="E8" s="37">
        <v>44896</v>
      </c>
      <c r="F8" s="237"/>
      <c r="G8" s="43" t="s">
        <v>1246</v>
      </c>
    </row>
    <row r="9" spans="1:7" ht="90">
      <c r="A9" s="345"/>
      <c r="B9" s="35" t="s">
        <v>1104</v>
      </c>
      <c r="C9" s="35" t="s">
        <v>1112</v>
      </c>
      <c r="D9" s="37">
        <v>40909</v>
      </c>
      <c r="E9" s="37">
        <v>44896</v>
      </c>
      <c r="F9" s="238"/>
    </row>
    <row r="10" spans="1:7" ht="75">
      <c r="A10" s="346"/>
      <c r="B10" s="35" t="s">
        <v>1104</v>
      </c>
      <c r="C10" s="35" t="s">
        <v>1113</v>
      </c>
      <c r="D10" s="37">
        <v>40909</v>
      </c>
      <c r="E10" s="37">
        <v>44896</v>
      </c>
      <c r="F10" s="38" t="s">
        <v>1109</v>
      </c>
    </row>
    <row r="11" spans="1:7" ht="90">
      <c r="A11" s="349" t="s">
        <v>1237</v>
      </c>
      <c r="B11" s="277" t="s">
        <v>1135</v>
      </c>
      <c r="C11" s="35" t="s">
        <v>1136</v>
      </c>
      <c r="D11" s="39">
        <v>40909</v>
      </c>
      <c r="E11" s="39">
        <v>41061</v>
      </c>
      <c r="F11" s="38" t="s">
        <v>1254</v>
      </c>
    </row>
    <row r="12" spans="1:7" ht="120">
      <c r="A12" s="345"/>
      <c r="B12" s="339"/>
      <c r="C12" s="35" t="s">
        <v>1137</v>
      </c>
      <c r="D12" s="39">
        <v>40909</v>
      </c>
      <c r="E12" s="39">
        <v>41244</v>
      </c>
      <c r="F12" s="38" t="s">
        <v>1254</v>
      </c>
    </row>
    <row r="13" spans="1:7" ht="105">
      <c r="A13" s="345"/>
      <c r="B13" s="340"/>
      <c r="C13" s="35" t="s">
        <v>1138</v>
      </c>
      <c r="D13" s="39">
        <v>40909</v>
      </c>
      <c r="E13" s="39">
        <v>44896</v>
      </c>
      <c r="F13" s="38" t="s">
        <v>1254</v>
      </c>
    </row>
    <row r="14" spans="1:7" ht="120">
      <c r="A14" s="345"/>
      <c r="B14" s="277" t="s">
        <v>1139</v>
      </c>
      <c r="C14" s="35" t="s">
        <v>1140</v>
      </c>
      <c r="D14" s="39">
        <v>40909</v>
      </c>
      <c r="E14" s="39">
        <v>41609</v>
      </c>
      <c r="F14" s="38" t="s">
        <v>1254</v>
      </c>
    </row>
    <row r="15" spans="1:7" ht="105">
      <c r="A15" s="345"/>
      <c r="B15" s="339"/>
      <c r="C15" s="35" t="s">
        <v>1141</v>
      </c>
      <c r="D15" s="39">
        <v>40909</v>
      </c>
      <c r="E15" s="39">
        <v>44896</v>
      </c>
      <c r="F15" s="38" t="s">
        <v>1254</v>
      </c>
    </row>
    <row r="16" spans="1:7" ht="120">
      <c r="A16" s="345"/>
      <c r="B16" s="339"/>
      <c r="C16" s="35" t="s">
        <v>1142</v>
      </c>
      <c r="D16" s="39">
        <v>40909</v>
      </c>
      <c r="E16" s="39">
        <v>44896</v>
      </c>
      <c r="F16" s="38" t="s">
        <v>1109</v>
      </c>
    </row>
    <row r="17" spans="1:7" ht="60">
      <c r="A17" s="345"/>
      <c r="B17" s="339"/>
      <c r="C17" s="35" t="s">
        <v>1143</v>
      </c>
      <c r="D17" s="39">
        <v>40909</v>
      </c>
      <c r="E17" s="39">
        <v>44896</v>
      </c>
      <c r="F17" s="38" t="s">
        <v>1254</v>
      </c>
    </row>
    <row r="18" spans="1:7" ht="135">
      <c r="A18" s="345"/>
      <c r="B18" s="340"/>
      <c r="C18" s="35" t="s">
        <v>1144</v>
      </c>
      <c r="D18" s="39">
        <v>40909</v>
      </c>
      <c r="E18" s="39">
        <v>44896</v>
      </c>
      <c r="F18" s="38" t="s">
        <v>1254</v>
      </c>
    </row>
    <row r="19" spans="1:7" ht="90">
      <c r="A19" s="345"/>
      <c r="B19" s="277" t="s">
        <v>1145</v>
      </c>
      <c r="C19" s="35" t="s">
        <v>1146</v>
      </c>
      <c r="D19" s="39">
        <v>40909</v>
      </c>
      <c r="E19" s="39">
        <v>44896</v>
      </c>
      <c r="F19" s="38" t="s">
        <v>1254</v>
      </c>
    </row>
    <row r="20" spans="1:7" ht="150">
      <c r="A20" s="346"/>
      <c r="B20" s="340"/>
      <c r="C20" s="35" t="s">
        <v>1147</v>
      </c>
      <c r="D20" s="39">
        <v>40909</v>
      </c>
      <c r="E20" s="39">
        <v>44896</v>
      </c>
      <c r="F20" s="38" t="s">
        <v>1254</v>
      </c>
    </row>
    <row r="21" spans="1:7">
      <c r="A21" s="41"/>
      <c r="B21" s="41"/>
      <c r="C21" s="41"/>
      <c r="D21" s="41"/>
      <c r="E21" s="41"/>
      <c r="F21" s="41"/>
    </row>
    <row r="22" spans="1:7" ht="120">
      <c r="A22" s="17" t="s">
        <v>1238</v>
      </c>
      <c r="B22" s="16" t="s">
        <v>1116</v>
      </c>
      <c r="C22" s="16" t="s">
        <v>1121</v>
      </c>
      <c r="D22" s="26">
        <v>40909</v>
      </c>
      <c r="E22" s="26">
        <v>44896</v>
      </c>
      <c r="F22" s="25" t="s">
        <v>1120</v>
      </c>
    </row>
    <row r="23" spans="1:7" ht="150">
      <c r="A23" s="17" t="s">
        <v>1238</v>
      </c>
      <c r="B23" s="16" t="s">
        <v>1123</v>
      </c>
      <c r="C23" s="16" t="s">
        <v>1124</v>
      </c>
      <c r="D23" s="18">
        <v>40909</v>
      </c>
      <c r="E23" s="18">
        <v>43070</v>
      </c>
      <c r="F23" s="16" t="s">
        <v>1120</v>
      </c>
      <c r="G23" s="45" t="s">
        <v>1249</v>
      </c>
    </row>
    <row r="24" spans="1:7" ht="114.75">
      <c r="A24" s="17" t="s">
        <v>743</v>
      </c>
      <c r="B24" s="16" t="s">
        <v>1123</v>
      </c>
      <c r="C24" s="16" t="s">
        <v>1125</v>
      </c>
      <c r="D24" s="18">
        <v>40909</v>
      </c>
      <c r="E24" s="18">
        <v>44896</v>
      </c>
      <c r="F24" s="16" t="s">
        <v>1120</v>
      </c>
      <c r="G24" s="43" t="s">
        <v>1248</v>
      </c>
    </row>
    <row r="25" spans="1:7" ht="90">
      <c r="A25" s="342" t="s">
        <v>1238</v>
      </c>
      <c r="B25" s="341" t="s">
        <v>1116</v>
      </c>
      <c r="C25" s="16" t="s">
        <v>1117</v>
      </c>
      <c r="D25" s="27">
        <v>40909</v>
      </c>
      <c r="E25" s="27">
        <v>44896</v>
      </c>
      <c r="F25" s="16" t="s">
        <v>1119</v>
      </c>
    </row>
    <row r="26" spans="1:7" ht="60">
      <c r="A26" s="339"/>
      <c r="B26" s="339"/>
      <c r="C26" s="16" t="s">
        <v>1118</v>
      </c>
      <c r="D26" s="28">
        <v>40909</v>
      </c>
      <c r="E26" s="28">
        <v>44896</v>
      </c>
      <c r="F26" s="25" t="s">
        <v>1120</v>
      </c>
    </row>
    <row r="27" spans="1:7" ht="60">
      <c r="A27" s="339"/>
      <c r="B27" s="340"/>
      <c r="C27" s="16" t="s">
        <v>1122</v>
      </c>
      <c r="D27" s="28">
        <v>40909</v>
      </c>
      <c r="E27" s="28">
        <v>44896</v>
      </c>
      <c r="F27" s="40" t="s">
        <v>1120</v>
      </c>
    </row>
    <row r="28" spans="1:7" ht="105">
      <c r="A28" s="339"/>
      <c r="B28" s="341" t="s">
        <v>1131</v>
      </c>
      <c r="C28" s="16" t="s">
        <v>1126</v>
      </c>
      <c r="D28" s="28">
        <v>40909</v>
      </c>
      <c r="E28" s="28">
        <v>44896</v>
      </c>
      <c r="F28" s="38" t="s">
        <v>1254</v>
      </c>
    </row>
    <row r="29" spans="1:7" ht="60">
      <c r="A29" s="339"/>
      <c r="B29" s="339"/>
      <c r="C29" s="16" t="s">
        <v>1127</v>
      </c>
      <c r="D29" s="28">
        <v>40909</v>
      </c>
      <c r="E29" s="28">
        <v>44896</v>
      </c>
      <c r="F29" s="38" t="s">
        <v>1254</v>
      </c>
    </row>
    <row r="30" spans="1:7" ht="90">
      <c r="A30" s="339"/>
      <c r="B30" s="339"/>
      <c r="C30" s="16" t="s">
        <v>1128</v>
      </c>
      <c r="D30" s="28">
        <v>40909</v>
      </c>
      <c r="E30" s="28">
        <v>44896</v>
      </c>
      <c r="F30" s="38" t="s">
        <v>1254</v>
      </c>
    </row>
    <row r="31" spans="1:7" ht="105">
      <c r="A31" s="339"/>
      <c r="B31" s="339"/>
      <c r="C31" s="16" t="s">
        <v>1129</v>
      </c>
      <c r="D31" s="28">
        <v>40909</v>
      </c>
      <c r="E31" s="28">
        <v>44896</v>
      </c>
      <c r="F31" s="38" t="s">
        <v>1254</v>
      </c>
    </row>
    <row r="32" spans="1:7" ht="75">
      <c r="A32" s="340"/>
      <c r="B32" s="340"/>
      <c r="C32" s="16" t="s">
        <v>1130</v>
      </c>
      <c r="D32" s="28">
        <v>40909</v>
      </c>
      <c r="E32" s="28">
        <v>44896</v>
      </c>
      <c r="F32" s="38" t="s">
        <v>1254</v>
      </c>
    </row>
    <row r="33" spans="1:6">
      <c r="A33" s="41"/>
      <c r="B33" s="41"/>
      <c r="C33" s="41"/>
      <c r="D33" s="41"/>
      <c r="E33" s="41"/>
      <c r="F33" s="41"/>
    </row>
    <row r="34" spans="1:6" ht="75">
      <c r="A34" s="272" t="s">
        <v>1235</v>
      </c>
      <c r="B34" s="341" t="s">
        <v>1211</v>
      </c>
      <c r="C34" s="16" t="s">
        <v>1213</v>
      </c>
      <c r="D34" s="28">
        <v>40909</v>
      </c>
      <c r="E34" s="28">
        <v>44896</v>
      </c>
      <c r="F34" s="16" t="s">
        <v>1212</v>
      </c>
    </row>
    <row r="35" spans="1:6" ht="90">
      <c r="A35" s="347"/>
      <c r="B35" s="339"/>
      <c r="C35" s="16" t="s">
        <v>1214</v>
      </c>
      <c r="D35" s="28">
        <v>40909</v>
      </c>
      <c r="E35" s="28">
        <v>44896</v>
      </c>
      <c r="F35" s="16" t="s">
        <v>1212</v>
      </c>
    </row>
    <row r="36" spans="1:6" ht="135">
      <c r="A36" s="347"/>
      <c r="B36" s="339"/>
      <c r="C36" s="16" t="s">
        <v>1215</v>
      </c>
      <c r="D36" s="28">
        <v>40909</v>
      </c>
      <c r="E36" s="28">
        <v>44896</v>
      </c>
      <c r="F36" s="16" t="s">
        <v>1212</v>
      </c>
    </row>
    <row r="37" spans="1:6" ht="45">
      <c r="A37" s="347"/>
      <c r="B37" s="339"/>
      <c r="C37" s="16" t="s">
        <v>1216</v>
      </c>
      <c r="D37" s="28">
        <v>40909</v>
      </c>
      <c r="E37" s="28" t="s">
        <v>1244</v>
      </c>
      <c r="F37" s="16" t="s">
        <v>1212</v>
      </c>
    </row>
    <row r="38" spans="1:6" ht="60">
      <c r="A38" s="347"/>
      <c r="B38" s="340"/>
      <c r="C38" s="16" t="s">
        <v>1217</v>
      </c>
      <c r="D38" s="28">
        <v>40909</v>
      </c>
      <c r="E38" s="28" t="s">
        <v>1244</v>
      </c>
      <c r="F38" s="16" t="s">
        <v>1212</v>
      </c>
    </row>
    <row r="39" spans="1:6" ht="60">
      <c r="A39" s="347"/>
      <c r="B39" s="341" t="s">
        <v>1221</v>
      </c>
      <c r="C39" s="16" t="s">
        <v>1218</v>
      </c>
      <c r="D39" s="28">
        <v>41061</v>
      </c>
      <c r="E39" s="28">
        <v>41487</v>
      </c>
      <c r="F39" s="16" t="s">
        <v>1212</v>
      </c>
    </row>
    <row r="40" spans="1:6" ht="75">
      <c r="A40" s="347"/>
      <c r="B40" s="339"/>
      <c r="C40" s="16" t="s">
        <v>1219</v>
      </c>
      <c r="D40" s="28">
        <v>41061</v>
      </c>
      <c r="E40" s="28">
        <v>41487</v>
      </c>
      <c r="F40" s="16" t="s">
        <v>1212</v>
      </c>
    </row>
    <row r="41" spans="1:6" ht="90">
      <c r="A41" s="347"/>
      <c r="B41" s="340"/>
      <c r="C41" s="16" t="s">
        <v>1220</v>
      </c>
      <c r="D41" s="28">
        <v>41061</v>
      </c>
      <c r="E41" s="28">
        <v>41609</v>
      </c>
      <c r="F41" s="16" t="s">
        <v>1212</v>
      </c>
    </row>
    <row r="42" spans="1:6" ht="75">
      <c r="A42" s="347"/>
      <c r="B42" s="344" t="s">
        <v>1225</v>
      </c>
      <c r="C42" s="16" t="s">
        <v>1222</v>
      </c>
      <c r="D42" s="28">
        <v>41275</v>
      </c>
      <c r="E42" s="28">
        <v>44896</v>
      </c>
      <c r="F42" s="16" t="s">
        <v>1226</v>
      </c>
    </row>
    <row r="43" spans="1:6" ht="60">
      <c r="A43" s="347"/>
      <c r="B43" s="348"/>
      <c r="C43" s="16" t="s">
        <v>1223</v>
      </c>
      <c r="D43" s="28">
        <v>41275</v>
      </c>
      <c r="E43" s="28">
        <v>41244</v>
      </c>
      <c r="F43" s="16" t="s">
        <v>1226</v>
      </c>
    </row>
    <row r="44" spans="1:6" ht="75">
      <c r="A44" s="347"/>
      <c r="B44" s="348"/>
      <c r="C44" s="16" t="s">
        <v>1224</v>
      </c>
      <c r="D44" s="28">
        <v>41275</v>
      </c>
      <c r="E44" s="28">
        <v>44896</v>
      </c>
      <c r="F44" s="16" t="s">
        <v>1226</v>
      </c>
    </row>
    <row r="45" spans="1:6" ht="60">
      <c r="A45" s="347"/>
      <c r="B45" s="344" t="s">
        <v>1232</v>
      </c>
      <c r="C45" s="16" t="s">
        <v>1227</v>
      </c>
      <c r="D45" s="28">
        <v>41275</v>
      </c>
      <c r="E45" s="28">
        <v>43070</v>
      </c>
      <c r="F45" s="16" t="s">
        <v>1231</v>
      </c>
    </row>
    <row r="46" spans="1:6" ht="75">
      <c r="A46" s="347"/>
      <c r="B46" s="348"/>
      <c r="C46" s="16" t="s">
        <v>1228</v>
      </c>
      <c r="D46" s="28">
        <v>41275</v>
      </c>
      <c r="E46" s="28">
        <v>43070</v>
      </c>
      <c r="F46" s="16" t="s">
        <v>1231</v>
      </c>
    </row>
    <row r="47" spans="1:6" ht="135">
      <c r="A47" s="347"/>
      <c r="B47" s="348"/>
      <c r="C47" s="16" t="s">
        <v>1229</v>
      </c>
      <c r="D47" s="28">
        <v>41275</v>
      </c>
      <c r="E47" s="28">
        <v>43070</v>
      </c>
      <c r="F47" s="16" t="s">
        <v>1231</v>
      </c>
    </row>
    <row r="48" spans="1:6" ht="60">
      <c r="A48" s="347"/>
      <c r="B48" s="348"/>
      <c r="C48" s="16" t="s">
        <v>1230</v>
      </c>
      <c r="D48" s="28">
        <v>41275</v>
      </c>
      <c r="E48" s="28">
        <v>43070</v>
      </c>
      <c r="F48" s="25" t="s">
        <v>1231</v>
      </c>
    </row>
    <row r="49" spans="1:6" ht="90">
      <c r="A49" s="347"/>
      <c r="B49" s="16" t="s">
        <v>1233</v>
      </c>
      <c r="C49" s="16" t="s">
        <v>1234</v>
      </c>
      <c r="D49" s="28">
        <v>40909</v>
      </c>
      <c r="E49" s="28">
        <v>44896</v>
      </c>
      <c r="F49" s="25" t="s">
        <v>1231</v>
      </c>
    </row>
    <row r="50" spans="1:6">
      <c r="A50" s="41"/>
      <c r="B50" s="41"/>
      <c r="C50" s="41"/>
      <c r="D50" s="41"/>
      <c r="E50" s="41"/>
      <c r="F50" s="41"/>
    </row>
    <row r="51" spans="1:6" ht="105">
      <c r="A51" s="342" t="s">
        <v>1239</v>
      </c>
      <c r="B51" s="341" t="s">
        <v>1189</v>
      </c>
      <c r="C51" s="16" t="s">
        <v>1188</v>
      </c>
      <c r="D51" s="28">
        <v>40909</v>
      </c>
      <c r="E51" s="28">
        <v>41609</v>
      </c>
      <c r="F51" s="29" t="s">
        <v>779</v>
      </c>
    </row>
    <row r="52" spans="1:6" ht="90">
      <c r="A52" s="339"/>
      <c r="B52" s="339"/>
      <c r="C52" s="16" t="s">
        <v>1186</v>
      </c>
      <c r="D52" s="28">
        <v>40909</v>
      </c>
      <c r="E52" s="28">
        <v>44896</v>
      </c>
      <c r="F52" s="29" t="s">
        <v>779</v>
      </c>
    </row>
    <row r="53" spans="1:6" ht="105">
      <c r="A53" s="339"/>
      <c r="B53" s="339"/>
      <c r="C53" s="16" t="s">
        <v>1185</v>
      </c>
      <c r="D53" s="28">
        <v>41275</v>
      </c>
      <c r="E53" s="28">
        <v>44896</v>
      </c>
      <c r="F53" s="29" t="s">
        <v>779</v>
      </c>
    </row>
    <row r="54" spans="1:6" ht="75">
      <c r="A54" s="340"/>
      <c r="B54" s="340"/>
      <c r="C54" s="16" t="s">
        <v>1187</v>
      </c>
      <c r="D54" s="28">
        <v>40909</v>
      </c>
      <c r="E54" s="28">
        <v>44896</v>
      </c>
      <c r="F54" s="29" t="s">
        <v>779</v>
      </c>
    </row>
    <row r="55" spans="1:6">
      <c r="A55" s="2"/>
      <c r="B55" s="2"/>
      <c r="C55" s="2"/>
      <c r="D55" s="2"/>
      <c r="E55" s="2"/>
      <c r="F55" s="30"/>
    </row>
    <row r="56" spans="1:6" ht="105">
      <c r="A56" s="341" t="s">
        <v>1239</v>
      </c>
      <c r="B56" s="341" t="s">
        <v>1193</v>
      </c>
      <c r="C56" s="16" t="s">
        <v>1191</v>
      </c>
      <c r="D56" s="28">
        <v>40909</v>
      </c>
      <c r="E56" s="28">
        <v>44896</v>
      </c>
      <c r="F56" s="29" t="s">
        <v>779</v>
      </c>
    </row>
    <row r="57" spans="1:6" ht="135">
      <c r="A57" s="339"/>
      <c r="B57" s="339"/>
      <c r="C57" s="16" t="s">
        <v>1190</v>
      </c>
      <c r="D57" s="28">
        <v>40909</v>
      </c>
      <c r="E57" s="28">
        <v>44896</v>
      </c>
      <c r="F57" s="29" t="s">
        <v>779</v>
      </c>
    </row>
    <row r="58" spans="1:6" ht="120">
      <c r="A58" s="340"/>
      <c r="B58" s="340"/>
      <c r="C58" s="16" t="s">
        <v>1192</v>
      </c>
      <c r="D58" s="28">
        <v>40909</v>
      </c>
      <c r="E58" s="28">
        <v>44896</v>
      </c>
      <c r="F58" s="29" t="s">
        <v>779</v>
      </c>
    </row>
    <row r="59" spans="1:6" ht="90">
      <c r="A59" s="17" t="s">
        <v>1181</v>
      </c>
      <c r="B59" s="16" t="s">
        <v>1180</v>
      </c>
      <c r="C59" s="16" t="s">
        <v>1182</v>
      </c>
      <c r="D59" s="28">
        <v>40909</v>
      </c>
      <c r="E59" s="28">
        <v>44896</v>
      </c>
      <c r="F59" s="29" t="s">
        <v>779</v>
      </c>
    </row>
    <row r="60" spans="1:6" ht="90">
      <c r="A60" s="17" t="s">
        <v>1181</v>
      </c>
      <c r="B60" s="16" t="s">
        <v>1180</v>
      </c>
      <c r="C60" s="16" t="s">
        <v>1183</v>
      </c>
      <c r="D60" s="28">
        <v>40909</v>
      </c>
      <c r="E60" s="28">
        <v>44896</v>
      </c>
      <c r="F60" s="29" t="s">
        <v>779</v>
      </c>
    </row>
    <row r="61" spans="1:6" ht="105">
      <c r="A61" s="17" t="s">
        <v>1181</v>
      </c>
      <c r="B61" s="16" t="s">
        <v>1180</v>
      </c>
      <c r="C61" s="16" t="s">
        <v>1184</v>
      </c>
      <c r="D61" s="28">
        <v>40909</v>
      </c>
      <c r="E61" s="28">
        <v>44896</v>
      </c>
      <c r="F61" s="29" t="s">
        <v>779</v>
      </c>
    </row>
    <row r="62" spans="1:6" ht="150">
      <c r="A62" s="17" t="s">
        <v>1181</v>
      </c>
      <c r="B62" s="16" t="s">
        <v>1197</v>
      </c>
      <c r="C62" s="16" t="s">
        <v>1194</v>
      </c>
      <c r="D62" s="28">
        <v>40909</v>
      </c>
      <c r="E62" s="28">
        <v>44896</v>
      </c>
      <c r="F62" s="6" t="s">
        <v>1198</v>
      </c>
    </row>
    <row r="63" spans="1:6" ht="120">
      <c r="A63" s="17" t="s">
        <v>1181</v>
      </c>
      <c r="B63" s="16" t="s">
        <v>1197</v>
      </c>
      <c r="C63" s="47" t="s">
        <v>1195</v>
      </c>
      <c r="D63" s="28">
        <v>40909</v>
      </c>
      <c r="E63" s="28">
        <v>44896</v>
      </c>
      <c r="F63" s="6" t="s">
        <v>1198</v>
      </c>
    </row>
    <row r="64" spans="1:6" ht="120">
      <c r="A64" s="17" t="s">
        <v>1181</v>
      </c>
      <c r="B64" s="16" t="s">
        <v>1197</v>
      </c>
      <c r="C64" s="47" t="s">
        <v>1196</v>
      </c>
      <c r="D64" s="28">
        <v>40909</v>
      </c>
      <c r="E64" s="28">
        <v>44896</v>
      </c>
      <c r="F64" s="6" t="s">
        <v>1198</v>
      </c>
    </row>
    <row r="65" spans="1:6">
      <c r="A65" s="42"/>
      <c r="B65" s="42"/>
      <c r="C65" s="42"/>
      <c r="D65" s="42"/>
      <c r="E65" s="42"/>
      <c r="F65" s="42"/>
    </row>
    <row r="66" spans="1:6" ht="90">
      <c r="A66" s="342" t="s">
        <v>1240</v>
      </c>
      <c r="B66" s="341" t="s">
        <v>1149</v>
      </c>
      <c r="C66" s="16" t="s">
        <v>1150</v>
      </c>
      <c r="D66" s="26">
        <v>40909</v>
      </c>
      <c r="E66" s="26">
        <v>42339</v>
      </c>
      <c r="F66" s="16" t="s">
        <v>1154</v>
      </c>
    </row>
    <row r="67" spans="1:6" ht="105">
      <c r="A67" s="339"/>
      <c r="B67" s="339"/>
      <c r="C67" s="16" t="s">
        <v>1151</v>
      </c>
      <c r="D67" s="28">
        <v>40909</v>
      </c>
      <c r="E67" s="28">
        <v>42339</v>
      </c>
      <c r="F67" s="16" t="s">
        <v>1154</v>
      </c>
    </row>
    <row r="68" spans="1:6" ht="90">
      <c r="A68" s="340"/>
      <c r="B68" s="340"/>
      <c r="C68" s="16" t="s">
        <v>1152</v>
      </c>
      <c r="D68" s="28">
        <v>40909</v>
      </c>
      <c r="E68" s="28">
        <v>42339</v>
      </c>
      <c r="F68" s="15" t="s">
        <v>1154</v>
      </c>
    </row>
    <row r="69" spans="1:6" ht="120">
      <c r="A69" s="342" t="s">
        <v>1240</v>
      </c>
      <c r="B69" s="341" t="s">
        <v>1155</v>
      </c>
      <c r="C69" s="16" t="s">
        <v>1156</v>
      </c>
      <c r="D69" s="28">
        <v>40909</v>
      </c>
      <c r="E69" s="28">
        <v>44896</v>
      </c>
      <c r="F69" s="16" t="s">
        <v>1160</v>
      </c>
    </row>
    <row r="70" spans="1:6" ht="180">
      <c r="A70" s="339"/>
      <c r="B70" s="339"/>
      <c r="C70" s="16" t="s">
        <v>1157</v>
      </c>
      <c r="D70" s="28">
        <v>40909</v>
      </c>
      <c r="E70" s="28">
        <v>44896</v>
      </c>
      <c r="F70" s="16" t="s">
        <v>1160</v>
      </c>
    </row>
    <row r="71" spans="1:6" ht="90">
      <c r="A71" s="339"/>
      <c r="B71" s="339"/>
      <c r="C71" s="16" t="s">
        <v>1158</v>
      </c>
      <c r="D71" s="28">
        <v>40909</v>
      </c>
      <c r="E71" s="28">
        <v>44896</v>
      </c>
      <c r="F71" s="16" t="s">
        <v>1160</v>
      </c>
    </row>
    <row r="72" spans="1:6" ht="120">
      <c r="A72" s="340"/>
      <c r="B72" s="340"/>
      <c r="C72" s="16" t="s">
        <v>1159</v>
      </c>
      <c r="D72" s="28">
        <v>40909</v>
      </c>
      <c r="E72" s="28">
        <v>44896</v>
      </c>
      <c r="F72" s="16" t="s">
        <v>1160</v>
      </c>
    </row>
    <row r="73" spans="1:6" ht="135">
      <c r="A73" s="17" t="s">
        <v>1240</v>
      </c>
      <c r="B73" s="16" t="s">
        <v>1161</v>
      </c>
      <c r="C73" s="16" t="s">
        <v>1162</v>
      </c>
      <c r="D73" s="28">
        <v>40909</v>
      </c>
      <c r="E73" s="28">
        <v>44896</v>
      </c>
      <c r="F73" s="16" t="s">
        <v>1153</v>
      </c>
    </row>
    <row r="74" spans="1:6">
      <c r="A74" s="41"/>
      <c r="B74" s="41"/>
      <c r="C74" s="41"/>
      <c r="D74" s="41"/>
      <c r="E74" s="41"/>
      <c r="F74" s="41"/>
    </row>
    <row r="75" spans="1:6" ht="75">
      <c r="A75" s="342" t="s">
        <v>1241</v>
      </c>
      <c r="B75" s="341" t="s">
        <v>1163</v>
      </c>
      <c r="C75" s="46" t="s">
        <v>1164</v>
      </c>
      <c r="D75" s="26">
        <v>40909</v>
      </c>
      <c r="E75" s="26">
        <v>44896</v>
      </c>
      <c r="F75" s="6" t="s">
        <v>1168</v>
      </c>
    </row>
    <row r="76" spans="1:6" ht="120">
      <c r="A76" s="345"/>
      <c r="B76" s="339"/>
      <c r="C76" s="6" t="s">
        <v>1165</v>
      </c>
      <c r="D76" s="26">
        <v>40909</v>
      </c>
      <c r="E76" s="26">
        <v>44896</v>
      </c>
      <c r="F76" s="29" t="s">
        <v>1168</v>
      </c>
    </row>
    <row r="77" spans="1:6" ht="105">
      <c r="A77" s="345"/>
      <c r="B77" s="339"/>
      <c r="C77" s="6" t="s">
        <v>1166</v>
      </c>
      <c r="D77" s="26">
        <v>40909</v>
      </c>
      <c r="E77" s="26">
        <v>44896</v>
      </c>
      <c r="F77" s="29" t="s">
        <v>1168</v>
      </c>
    </row>
    <row r="78" spans="1:6" ht="90">
      <c r="A78" s="346"/>
      <c r="B78" s="340"/>
      <c r="C78" s="6" t="s">
        <v>1167</v>
      </c>
      <c r="D78" s="26">
        <v>40909</v>
      </c>
      <c r="E78" s="26">
        <v>44896</v>
      </c>
      <c r="F78" s="29" t="s">
        <v>1168</v>
      </c>
    </row>
    <row r="79" spans="1:6" ht="75">
      <c r="A79" s="342" t="s">
        <v>1241</v>
      </c>
      <c r="B79" s="341" t="s">
        <v>1169</v>
      </c>
      <c r="C79" s="46" t="s">
        <v>1170</v>
      </c>
      <c r="D79" s="26">
        <v>40909</v>
      </c>
      <c r="E79" s="26">
        <v>43800</v>
      </c>
      <c r="F79" s="29" t="s">
        <v>1168</v>
      </c>
    </row>
    <row r="80" spans="1:6" ht="75">
      <c r="A80" s="339"/>
      <c r="B80" s="339"/>
      <c r="C80" s="47" t="s">
        <v>1245</v>
      </c>
      <c r="D80" s="26">
        <v>40909</v>
      </c>
      <c r="E80" s="26">
        <v>43800</v>
      </c>
      <c r="F80" s="29" t="s">
        <v>1168</v>
      </c>
    </row>
    <row r="81" spans="1:6" ht="135">
      <c r="A81" s="339"/>
      <c r="B81" s="339"/>
      <c r="C81" s="6" t="s">
        <v>1171</v>
      </c>
      <c r="D81" s="26">
        <v>40909</v>
      </c>
      <c r="E81" s="26">
        <v>43800</v>
      </c>
      <c r="F81" s="29" t="s">
        <v>1168</v>
      </c>
    </row>
    <row r="82" spans="1:6" ht="105">
      <c r="A82" s="339"/>
      <c r="B82" s="339"/>
      <c r="C82" s="46" t="s">
        <v>1172</v>
      </c>
      <c r="D82" s="26">
        <v>40909</v>
      </c>
      <c r="E82" s="26">
        <v>43800</v>
      </c>
      <c r="F82" s="29" t="s">
        <v>1168</v>
      </c>
    </row>
    <row r="83" spans="1:6" ht="120">
      <c r="A83" s="340"/>
      <c r="B83" s="340"/>
      <c r="C83" s="6" t="s">
        <v>1173</v>
      </c>
      <c r="D83" s="26">
        <v>40909</v>
      </c>
      <c r="E83" s="26">
        <v>43800</v>
      </c>
      <c r="F83" s="29" t="s">
        <v>1168</v>
      </c>
    </row>
    <row r="84" spans="1:6" ht="135">
      <c r="A84" s="342" t="s">
        <v>1241</v>
      </c>
      <c r="B84" s="341" t="s">
        <v>1174</v>
      </c>
      <c r="C84" s="6" t="s">
        <v>1175</v>
      </c>
      <c r="D84" s="26">
        <v>40909</v>
      </c>
      <c r="E84" s="26">
        <v>43070</v>
      </c>
      <c r="F84" s="29" t="s">
        <v>1168</v>
      </c>
    </row>
    <row r="85" spans="1:6" ht="135">
      <c r="A85" s="340"/>
      <c r="B85" s="340"/>
      <c r="C85" s="48" t="s">
        <v>1176</v>
      </c>
      <c r="D85" s="26">
        <v>40909</v>
      </c>
      <c r="E85" s="26">
        <v>43070</v>
      </c>
      <c r="F85" s="29" t="s">
        <v>1168</v>
      </c>
    </row>
    <row r="86" spans="1:6" ht="105">
      <c r="A86" s="342" t="s">
        <v>1243</v>
      </c>
      <c r="B86" s="341" t="s">
        <v>1202</v>
      </c>
      <c r="C86" s="6" t="s">
        <v>1199</v>
      </c>
      <c r="D86" s="26">
        <v>40909</v>
      </c>
      <c r="E86" s="26">
        <v>44896</v>
      </c>
      <c r="F86" s="29" t="s">
        <v>1168</v>
      </c>
    </row>
    <row r="87" spans="1:6" ht="105">
      <c r="A87" s="339"/>
      <c r="B87" s="339"/>
      <c r="C87" s="6" t="s">
        <v>1200</v>
      </c>
      <c r="D87" s="26">
        <v>40909</v>
      </c>
      <c r="E87" s="26">
        <v>44896</v>
      </c>
      <c r="F87" s="29" t="s">
        <v>1168</v>
      </c>
    </row>
    <row r="88" spans="1:6" ht="75">
      <c r="A88" s="339"/>
      <c r="B88" s="339"/>
      <c r="C88" s="46" t="s">
        <v>1201</v>
      </c>
      <c r="D88" s="26">
        <v>40909</v>
      </c>
      <c r="E88" s="26">
        <v>44896</v>
      </c>
      <c r="F88" s="29" t="s">
        <v>1168</v>
      </c>
    </row>
    <row r="89" spans="1:6" ht="150">
      <c r="A89" s="343" t="s">
        <v>1243</v>
      </c>
      <c r="B89" s="341" t="s">
        <v>1242</v>
      </c>
      <c r="C89" s="6" t="s">
        <v>1203</v>
      </c>
      <c r="D89" s="26">
        <v>40909</v>
      </c>
      <c r="E89" s="26">
        <v>44896</v>
      </c>
      <c r="F89" s="29" t="s">
        <v>1168</v>
      </c>
    </row>
    <row r="90" spans="1:6" ht="105">
      <c r="A90" s="344"/>
      <c r="B90" s="339"/>
      <c r="C90" s="6" t="s">
        <v>1204</v>
      </c>
      <c r="D90" s="26">
        <v>40909</v>
      </c>
      <c r="E90" s="26">
        <v>44896</v>
      </c>
      <c r="F90" s="29" t="s">
        <v>1168</v>
      </c>
    </row>
    <row r="91" spans="1:6" ht="165">
      <c r="A91" s="344"/>
      <c r="B91" s="339"/>
      <c r="C91" s="6" t="s">
        <v>1205</v>
      </c>
      <c r="D91" s="26">
        <v>40909</v>
      </c>
      <c r="E91" s="26">
        <v>44896</v>
      </c>
      <c r="F91" s="29" t="s">
        <v>1168</v>
      </c>
    </row>
    <row r="92" spans="1:6" ht="90">
      <c r="A92" s="344"/>
      <c r="B92" s="340"/>
      <c r="C92" s="6" t="s">
        <v>1206</v>
      </c>
      <c r="D92" s="26">
        <v>40909</v>
      </c>
      <c r="E92" s="26">
        <v>44896</v>
      </c>
      <c r="F92" s="29" t="s">
        <v>1168</v>
      </c>
    </row>
    <row r="93" spans="1:6" ht="180">
      <c r="A93" s="338" t="s">
        <v>1243</v>
      </c>
      <c r="B93" s="341" t="s">
        <v>1207</v>
      </c>
      <c r="C93" s="6" t="s">
        <v>1208</v>
      </c>
      <c r="D93" s="26">
        <v>40909</v>
      </c>
      <c r="E93" s="26">
        <v>44896</v>
      </c>
      <c r="F93" s="29" t="s">
        <v>1168</v>
      </c>
    </row>
    <row r="94" spans="1:6" ht="150">
      <c r="A94" s="339"/>
      <c r="B94" s="339"/>
      <c r="C94" s="6" t="s">
        <v>1209</v>
      </c>
      <c r="D94" s="26">
        <v>40909</v>
      </c>
      <c r="E94" s="26">
        <v>44896</v>
      </c>
      <c r="F94" s="29" t="s">
        <v>1168</v>
      </c>
    </row>
    <row r="95" spans="1:6" ht="135">
      <c r="A95" s="340"/>
      <c r="B95" s="340"/>
      <c r="C95" s="6" t="s">
        <v>1210</v>
      </c>
      <c r="D95" s="26">
        <v>40909</v>
      </c>
      <c r="E95" s="26">
        <v>44896</v>
      </c>
      <c r="F95" s="29" t="s">
        <v>1168</v>
      </c>
    </row>
  </sheetData>
  <mergeCells count="47">
    <mergeCell ref="A1:F1"/>
    <mergeCell ref="A2:A3"/>
    <mergeCell ref="B2:B3"/>
    <mergeCell ref="C2:C3"/>
    <mergeCell ref="D2:E2"/>
    <mergeCell ref="F2:F3"/>
    <mergeCell ref="F7:F9"/>
    <mergeCell ref="A4:A6"/>
    <mergeCell ref="B4:B6"/>
    <mergeCell ref="C4:C6"/>
    <mergeCell ref="D4:D6"/>
    <mergeCell ref="E4:E6"/>
    <mergeCell ref="F4:F6"/>
    <mergeCell ref="A8:A10"/>
    <mergeCell ref="A11:A20"/>
    <mergeCell ref="B11:B13"/>
    <mergeCell ref="B14:B18"/>
    <mergeCell ref="B19:B20"/>
    <mergeCell ref="A25:A32"/>
    <mergeCell ref="B25:B27"/>
    <mergeCell ref="B28:B32"/>
    <mergeCell ref="A34:A49"/>
    <mergeCell ref="B34:B38"/>
    <mergeCell ref="B39:B41"/>
    <mergeCell ref="B42:B44"/>
    <mergeCell ref="B45:B48"/>
    <mergeCell ref="B51:B54"/>
    <mergeCell ref="A56:A58"/>
    <mergeCell ref="B56:B58"/>
    <mergeCell ref="A66:A68"/>
    <mergeCell ref="B66:B68"/>
    <mergeCell ref="G4:G6"/>
    <mergeCell ref="A93:A95"/>
    <mergeCell ref="B93:B95"/>
    <mergeCell ref="A84:A85"/>
    <mergeCell ref="B84:B85"/>
    <mergeCell ref="A86:A88"/>
    <mergeCell ref="B86:B88"/>
    <mergeCell ref="A89:A92"/>
    <mergeCell ref="B89:B92"/>
    <mergeCell ref="A69:A72"/>
    <mergeCell ref="B69:B72"/>
    <mergeCell ref="A75:A78"/>
    <mergeCell ref="B75:B78"/>
    <mergeCell ref="A79:A83"/>
    <mergeCell ref="B79:B83"/>
    <mergeCell ref="A51:A54"/>
  </mergeCells>
  <printOptions horizontalCentered="1" verticalCentered="1"/>
  <pageMargins left="0.34" right="0.19" top="0.49" bottom="0.57999999999999996" header="0.31496062992125984" footer="0.31496062992125984"/>
  <pageSetup paperSize="5" scale="80" orientation="portrait" horizontalDpi="300" verticalDpi="300" r:id="rId1"/>
</worksheet>
</file>

<file path=xl/worksheets/sheet9.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honeticPr fontId="7"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9</vt:i4>
      </vt:variant>
    </vt:vector>
  </HeadingPairs>
  <TitlesOfParts>
    <vt:vector size="20" baseType="lpstr">
      <vt:lpstr>GESTION AMBIENTAL Y ORD. T.</vt:lpstr>
      <vt:lpstr>INVERSION PUBLICA</vt:lpstr>
      <vt:lpstr>DESARROLLO Y GESTION INST.</vt:lpstr>
      <vt:lpstr>SEGURIDAD CIUDADANA</vt:lpstr>
      <vt:lpstr>SERVICIOS PUBLICOS</vt:lpstr>
      <vt:lpstr>DESARROLLO ECONOMICO SOSTENIBLE</vt:lpstr>
      <vt:lpstr>DESARROLLO SOCIAL</vt:lpstr>
      <vt:lpstr>PLAN LARGO PLAZO</vt:lpstr>
      <vt:lpstr>Hoja2</vt:lpstr>
      <vt:lpstr>SEG. Y EVAL. MEDIANO PLAZO</vt:lpstr>
      <vt:lpstr>METAS NO ALCANZADAS 100%</vt:lpstr>
      <vt:lpstr>'DESARROLLO ECONOMICO SOSTENIBLE'!Títulos_a_imprimir</vt:lpstr>
      <vt:lpstr>'DESARROLLO SOCIAL'!Títulos_a_imprimir</vt:lpstr>
      <vt:lpstr>'DESARROLLO Y GESTION INST.'!Títulos_a_imprimir</vt:lpstr>
      <vt:lpstr>'GESTION AMBIENTAL Y ORD. T.'!Títulos_a_imprimir</vt:lpstr>
      <vt:lpstr>'INVERSION PUBLICA'!Títulos_a_imprimir</vt:lpstr>
      <vt:lpstr>'METAS NO ALCANZADAS 100%'!Títulos_a_imprimir</vt:lpstr>
      <vt:lpstr>'PLAN LARGO PLAZO'!Títulos_a_imprimir</vt:lpstr>
      <vt:lpstr>'SEGURIDAD CIUDADANA'!Títulos_a_imprimir</vt:lpstr>
      <vt:lpstr>'SERVICIOS PUBLICOS'!Títulos_a_imprimir</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J_Fernandez</dc:creator>
  <cp:lastModifiedBy>J_Fernandez</cp:lastModifiedBy>
  <cp:lastPrinted>2013-02-01T16:49:10Z</cp:lastPrinted>
  <dcterms:created xsi:type="dcterms:W3CDTF">2009-12-09T21:00:41Z</dcterms:created>
  <dcterms:modified xsi:type="dcterms:W3CDTF">2013-02-26T17:38:40Z</dcterms:modified>
</cp:coreProperties>
</file>