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domain.local\mh\Departamentos\Residuos Solidos\GIR-2020\28- EXPEDIENTE DE CONTROL DE TONELAJES\"/>
    </mc:Choice>
  </mc:AlternateContent>
  <xr:revisionPtr revIDLastSave="0" documentId="13_ncr:1_{1A51D5BB-E4B9-4108-A976-E5E88FC8AD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2" sheetId="6" r:id="rId2"/>
    <sheet name="Hoja5" sheetId="8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2" l="1"/>
  <c r="K26" i="2"/>
  <c r="O37" i="2" l="1"/>
  <c r="K23" i="6" l="1"/>
  <c r="K22" i="6"/>
  <c r="J24" i="6"/>
  <c r="J17" i="6"/>
  <c r="C51" i="2"/>
  <c r="M72" i="6"/>
  <c r="M73" i="6"/>
  <c r="M76" i="6"/>
  <c r="M75" i="6"/>
  <c r="N78" i="6"/>
  <c r="K78" i="6"/>
  <c r="L78" i="6"/>
  <c r="J78" i="6"/>
  <c r="M77" i="6"/>
  <c r="M74" i="6"/>
  <c r="L73" i="6"/>
  <c r="L74" i="6"/>
  <c r="L75" i="6"/>
  <c r="L76" i="6"/>
  <c r="L77" i="6"/>
  <c r="L72" i="6"/>
  <c r="M78" i="6" l="1"/>
  <c r="K4" i="6" l="1"/>
  <c r="K5" i="6"/>
  <c r="K6" i="6"/>
  <c r="K7" i="6"/>
  <c r="K8" i="6"/>
  <c r="K9" i="6"/>
  <c r="K10" i="6"/>
  <c r="K11" i="6"/>
  <c r="K12" i="6"/>
  <c r="K13" i="6"/>
  <c r="K14" i="6"/>
  <c r="K15" i="6"/>
  <c r="K16" i="6"/>
  <c r="K3" i="6"/>
  <c r="J18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3" i="6"/>
  <c r="F170" i="6"/>
  <c r="D170" i="6"/>
  <c r="F153" i="6"/>
  <c r="D153" i="6"/>
  <c r="B105" i="2"/>
  <c r="H48" i="2" s="1"/>
  <c r="D104" i="2"/>
  <c r="D103" i="2"/>
  <c r="D102" i="2"/>
  <c r="D101" i="2"/>
  <c r="D100" i="2"/>
  <c r="D99" i="2"/>
  <c r="D105" i="2" l="1"/>
  <c r="E99" i="2" s="1"/>
  <c r="C105" i="2"/>
  <c r="H64" i="2" s="1"/>
  <c r="H32" i="2" s="1"/>
  <c r="E104" i="2" l="1"/>
  <c r="E103" i="2"/>
  <c r="E102" i="2"/>
  <c r="E101" i="2"/>
  <c r="E100" i="2"/>
  <c r="K30" i="2"/>
  <c r="E105" i="2" l="1"/>
  <c r="C94" i="2"/>
  <c r="C93" i="2"/>
  <c r="C92" i="2"/>
  <c r="D92" i="2" s="1"/>
  <c r="C91" i="2"/>
  <c r="D91" i="2" s="1"/>
  <c r="C90" i="2"/>
  <c r="C89" i="2"/>
  <c r="B94" i="2"/>
  <c r="B93" i="2"/>
  <c r="B90" i="2"/>
  <c r="B95" i="2" s="1"/>
  <c r="H47" i="2" s="1"/>
  <c r="D94" i="2" l="1"/>
  <c r="D90" i="2"/>
  <c r="D93" i="2"/>
  <c r="C95" i="2"/>
  <c r="H63" i="2" s="1"/>
  <c r="H31" i="2" s="1"/>
  <c r="D89" i="2"/>
  <c r="D95" i="2" l="1"/>
  <c r="Q9" i="2"/>
  <c r="K28" i="2" s="1"/>
  <c r="E92" i="2" l="1"/>
  <c r="E93" i="2"/>
  <c r="E91" i="2"/>
  <c r="E94" i="2"/>
  <c r="E90" i="2"/>
  <c r="E89" i="2"/>
  <c r="E95" i="2" l="1"/>
  <c r="H21" i="2"/>
  <c r="H22" i="2"/>
  <c r="H17" i="2"/>
  <c r="B49" i="2" l="1"/>
  <c r="D49" i="2" s="1"/>
  <c r="C64" i="2"/>
  <c r="D64" i="2" s="1"/>
  <c r="C63" i="2"/>
  <c r="D63" i="2" s="1"/>
  <c r="C62" i="2"/>
  <c r="C61" i="2"/>
  <c r="D61" i="2" s="1"/>
  <c r="C60" i="2"/>
  <c r="C59" i="2"/>
  <c r="D59" i="2" s="1"/>
  <c r="B62" i="2"/>
  <c r="B60" i="2"/>
  <c r="D60" i="2" s="1"/>
  <c r="C54" i="2"/>
  <c r="C53" i="2"/>
  <c r="D53" i="2" s="1"/>
  <c r="C52" i="2"/>
  <c r="C50" i="2"/>
  <c r="D50" i="2" s="1"/>
  <c r="B54" i="2"/>
  <c r="B53" i="2"/>
  <c r="B52" i="2"/>
  <c r="B51" i="2"/>
  <c r="D51" i="2" s="1"/>
  <c r="D22" i="2"/>
  <c r="D23" i="2"/>
  <c r="D19" i="2"/>
  <c r="C24" i="2"/>
  <c r="C21" i="2"/>
  <c r="D21" i="2" s="1"/>
  <c r="C20" i="2"/>
  <c r="D20" i="2" s="1"/>
  <c r="D12" i="2"/>
  <c r="D13" i="2"/>
  <c r="D14" i="2"/>
  <c r="C11" i="2"/>
  <c r="C10" i="2"/>
  <c r="C9" i="2"/>
  <c r="B10" i="2"/>
  <c r="B11" i="2"/>
  <c r="D32" i="2"/>
  <c r="D33" i="2"/>
  <c r="C34" i="2"/>
  <c r="C31" i="2"/>
  <c r="C30" i="2"/>
  <c r="C29" i="2"/>
  <c r="B34" i="2"/>
  <c r="B31" i="2"/>
  <c r="B30" i="2"/>
  <c r="B29" i="2"/>
  <c r="F136" i="6"/>
  <c r="D136" i="6"/>
  <c r="D119" i="6"/>
  <c r="D102" i="6"/>
  <c r="D85" i="6"/>
  <c r="D51" i="6"/>
  <c r="D34" i="6"/>
  <c r="D17" i="6"/>
  <c r="F17" i="6"/>
  <c r="F34" i="6"/>
  <c r="D62" i="2" l="1"/>
  <c r="D65" i="2" s="1"/>
  <c r="D30" i="2"/>
  <c r="D31" i="2"/>
  <c r="D54" i="2"/>
  <c r="D9" i="2"/>
  <c r="D29" i="2"/>
  <c r="D11" i="2"/>
  <c r="H11" i="2"/>
  <c r="H10" i="2"/>
  <c r="L17" i="6"/>
  <c r="D52" i="2"/>
  <c r="D55" i="2" s="1"/>
  <c r="E51" i="2" s="1"/>
  <c r="D10" i="2"/>
  <c r="D15" i="2" s="1"/>
  <c r="D34" i="2"/>
  <c r="D24" i="2"/>
  <c r="F51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E9" i="2" l="1"/>
  <c r="E14" i="2"/>
  <c r="E11" i="2"/>
  <c r="E50" i="2"/>
  <c r="E52" i="2"/>
  <c r="E54" i="2"/>
  <c r="E53" i="2"/>
  <c r="J23" i="6"/>
  <c r="L48" i="2" s="1"/>
  <c r="F56" i="6"/>
  <c r="F54" i="6"/>
  <c r="D68" i="6"/>
  <c r="F60" i="6"/>
  <c r="F64" i="6"/>
  <c r="F63" i="6"/>
  <c r="F61" i="6"/>
  <c r="F59" i="6"/>
  <c r="E12" i="2"/>
  <c r="E13" i="2"/>
  <c r="E10" i="2"/>
  <c r="D35" i="2"/>
  <c r="E34" i="2" s="1"/>
  <c r="F85" i="6"/>
  <c r="F68" i="6" l="1"/>
  <c r="J22" i="6"/>
  <c r="K48" i="2" s="1"/>
  <c r="E30" i="2"/>
  <c r="E31" i="2"/>
  <c r="E32" i="2"/>
  <c r="E33" i="2"/>
  <c r="E29" i="2"/>
  <c r="F102" i="6"/>
  <c r="F119" i="6" l="1"/>
  <c r="K17" i="6" l="1"/>
  <c r="C84" i="2"/>
  <c r="C83" i="2"/>
  <c r="K12" i="2" s="1"/>
  <c r="C82" i="2"/>
  <c r="K11" i="2" s="1"/>
  <c r="C81" i="2"/>
  <c r="D81" i="2" s="1"/>
  <c r="C80" i="2"/>
  <c r="K9" i="2" s="1"/>
  <c r="C79" i="2"/>
  <c r="B84" i="2"/>
  <c r="H13" i="2" s="1"/>
  <c r="B83" i="2"/>
  <c r="B80" i="2"/>
  <c r="D80" i="2" s="1"/>
  <c r="B79" i="2"/>
  <c r="H8" i="2" s="1"/>
  <c r="D79" i="2" l="1"/>
  <c r="K8" i="2"/>
  <c r="D82" i="2"/>
  <c r="B85" i="2"/>
  <c r="H46" i="2" s="1"/>
  <c r="H12" i="2"/>
  <c r="D84" i="2"/>
  <c r="D83" i="2"/>
  <c r="C85" i="2"/>
  <c r="H62" i="2" s="1"/>
  <c r="D85" i="2" l="1"/>
  <c r="H30" i="2"/>
  <c r="E82" i="2"/>
  <c r="E80" i="2"/>
  <c r="E84" i="2"/>
  <c r="E83" i="2"/>
  <c r="E79" i="2"/>
  <c r="E81" i="2"/>
  <c r="B70" i="2"/>
  <c r="D72" i="2"/>
  <c r="D73" i="2"/>
  <c r="D69" i="2"/>
  <c r="C74" i="2"/>
  <c r="K13" i="2" s="1"/>
  <c r="C71" i="2"/>
  <c r="C75" i="2" s="1"/>
  <c r="H61" i="2" s="1"/>
  <c r="B75" i="2" l="1"/>
  <c r="H45" i="2" s="1"/>
  <c r="H29" i="2" s="1"/>
  <c r="H9" i="2"/>
  <c r="D71" i="2"/>
  <c r="K10" i="2"/>
  <c r="D74" i="2"/>
  <c r="D70" i="2"/>
  <c r="E85" i="2"/>
  <c r="C65" i="2"/>
  <c r="H60" i="2" s="1"/>
  <c r="B65" i="2"/>
  <c r="H44" i="2" s="1"/>
  <c r="C55" i="2"/>
  <c r="H59" i="2" s="1"/>
  <c r="B55" i="2"/>
  <c r="H43" i="2" s="1"/>
  <c r="D75" i="2" l="1"/>
  <c r="E70" i="2" s="1"/>
  <c r="E74" i="2" l="1"/>
  <c r="E72" i="2"/>
  <c r="E73" i="2"/>
  <c r="E69" i="2"/>
  <c r="E71" i="2"/>
  <c r="H28" i="2"/>
  <c r="E49" i="2"/>
  <c r="E55" i="2" s="1"/>
  <c r="E75" i="2" l="1"/>
  <c r="H27" i="2" l="1"/>
  <c r="K22" i="2" l="1"/>
  <c r="K21" i="2"/>
  <c r="K19" i="2"/>
  <c r="B45" i="2" l="1"/>
  <c r="H42" i="2" s="1"/>
  <c r="D44" i="2" l="1"/>
  <c r="D43" i="2"/>
  <c r="D41" i="2"/>
  <c r="D40" i="2"/>
  <c r="D42" i="2" l="1"/>
  <c r="C45" i="2"/>
  <c r="H58" i="2" s="1"/>
  <c r="H26" i="2" s="1"/>
  <c r="D39" i="2" l="1"/>
  <c r="D45" i="2" s="1"/>
  <c r="E63" i="2" l="1"/>
  <c r="E64" i="2"/>
  <c r="E62" i="2"/>
  <c r="E59" i="2"/>
  <c r="E60" i="2"/>
  <c r="E61" i="2"/>
  <c r="E39" i="2"/>
  <c r="B15" i="2"/>
  <c r="H39" i="2" s="1"/>
  <c r="C35" i="2"/>
  <c r="H57" i="2" s="1"/>
  <c r="B35" i="2"/>
  <c r="H41" i="2" s="1"/>
  <c r="C25" i="2"/>
  <c r="H56" i="2" s="1"/>
  <c r="B25" i="2"/>
  <c r="H40" i="2" s="1"/>
  <c r="C15" i="2"/>
  <c r="H55" i="2" s="1"/>
  <c r="H24" i="2" l="1"/>
  <c r="E65" i="2"/>
  <c r="D25" i="2"/>
  <c r="H65" i="2"/>
  <c r="H23" i="2"/>
  <c r="H25" i="2"/>
  <c r="H49" i="2"/>
  <c r="E42" i="2"/>
  <c r="E40" i="2"/>
  <c r="E41" i="2"/>
  <c r="E43" i="2"/>
  <c r="E44" i="2"/>
  <c r="H16" i="2"/>
  <c r="H18" i="2" s="1"/>
  <c r="E23" i="2" l="1"/>
  <c r="E24" i="2"/>
  <c r="E22" i="2"/>
  <c r="E20" i="2"/>
  <c r="E21" i="2"/>
  <c r="E19" i="2"/>
  <c r="E45" i="2"/>
  <c r="E25" i="2" l="1"/>
  <c r="E15" i="2"/>
  <c r="H33" i="2"/>
  <c r="K27" i="2" l="1"/>
  <c r="L49" i="2"/>
  <c r="K49" i="2"/>
  <c r="K20" i="2"/>
  <c r="K23" i="2" s="1"/>
  <c r="E35" i="2"/>
  <c r="K3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tc={FF289CB0-54E3-4CB5-86FA-DF86E40BB813}</author>
    <author>tc={768145FE-B224-483A-8575-3BC764C953F5}</author>
    <author>tc={1B9D31B1-BD39-40F5-BE23-ADA89A0A687E}</author>
    <author>tc={B8C222DB-AB1F-4050-94EB-8D519DAB6730}</author>
    <author>tc={60CD193D-C71F-4F89-BC69-370B27A66BB5}</author>
    <author>tc={7B810EA5-9C7E-422C-83AC-D72BE1C78C89}</author>
    <author>tc={C4FEE0F8-2436-41BA-BABC-1556C8DFA39B}</author>
    <author>tc={F241D16A-A41F-45B4-A555-8CEA8A8B3B91}</author>
    <author>tc={E95BFA25-9B42-40EA-B3A0-B7743CCAECB8}</author>
    <author>tc={FE6BE0ED-A000-46C8-9569-58988D1238C4}</author>
    <author>tc={D7578222-7D0C-4773-8AC1-6EB2C5E6DC8D}</author>
    <author>tc={C02C8077-D187-48D7-8681-7C215D9962DC}</author>
  </authors>
  <commentList>
    <comment ref="A1" authorId="0" shapeId="0" xr:uid="{FF289CB0-54E3-4CB5-86FA-DF86E40BB81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 promedio del periodo 2019</t>
      </text>
    </comment>
    <comment ref="A2" authorId="1" shapeId="0" xr:uid="{768145FE-B224-483A-8575-3BC764C953F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 promedio del periodo 2019</t>
      </text>
    </comment>
    <comment ref="A3" authorId="2" shapeId="0" xr:uid="{1B9D31B1-BD39-40F5-BE23-ADA89A0A687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 promedio del periodo 2019</t>
      </text>
    </comment>
    <comment ref="A4" authorId="3" shapeId="0" xr:uid="{B8C222DB-AB1F-4050-94EB-8D519DAB673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 promedio del periodo 2019</t>
      </text>
    </comment>
    <comment ref="H17" authorId="4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de basura del 2019 para Enero y Febrero</t>
      </text>
    </comment>
    <comment ref="H21" authorId="5" shapeId="0" xr:uid="{00000000-0006-0000-00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 promedio del periodo 2019</t>
      </text>
    </comment>
    <comment ref="H22" authorId="6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 promedio del periodo 2019</t>
      </text>
    </comment>
    <comment ref="K22" authorId="7" shapeId="0" xr:uid="{00000000-0006-0000-00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430 composteras en uso activas * 10kg c/u por semana * 52 Semanas del año</t>
      </text>
    </comment>
    <comment ref="K29" authorId="8" shapeId="0" xr:uid="{E95BFA25-9B42-40EA-B3A0-B7743CCAECB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468 composteras en uso activas en casas + 2 en MinSalud y Oficina de la Mujer * 10kg c/u por semana * 52 Semanas del año</t>
      </text>
    </comment>
    <comment ref="K30" authorId="9" shapeId="0" xr:uid="{FE6BE0ED-A000-46C8-9569-58988D1238C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468 VIVIENDAS + 2 EN MINSALUD Y OFICINA DE LA MUJER</t>
      </text>
    </comment>
    <comment ref="H37" authorId="10" shapeId="0" xr:uid="{00000000-0006-0000-00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promedio del 2019</t>
      </text>
    </comment>
    <comment ref="H38" authorId="11" shapeId="0" xr:uid="{00000000-0006-0000-0000-000006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promedio del 2019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tc={D2148E3F-1562-4F41-8805-527254FF6EB4}</author>
    <author>tc={2E50A725-F325-4E26-82DD-D2F45A63F7C5}</author>
    <author>tc={03EBE594-CB1F-42B8-8574-6AA3CA9C0362}</author>
    <author>tc={CEA152D3-5F44-4AA6-9C7B-7BAAEDC49B0B}</author>
  </authors>
  <commentList>
    <comment ref="N2" authorId="0" shapeId="0" xr:uid="{D2148E3F-1562-4F41-8805-527254FF6EB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 promedio del periodo 2019,</t>
      </text>
    </comment>
    <comment ref="N3" authorId="1" shapeId="0" xr:uid="{2E50A725-F325-4E26-82DD-D2F45A63F7C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 promedio del periodo 2019</t>
      </text>
    </comment>
    <comment ref="N4" authorId="2" shapeId="0" xr:uid="{03EBE594-CB1F-42B8-8574-6AA3CA9C036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 promedio del periodo 2019</t>
      </text>
    </comment>
    <comment ref="N5" authorId="3" shapeId="0" xr:uid="{CEA152D3-5F44-4AA6-9C7B-7BAAEDC49B0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 promedio del periodo 2019</t>
      </text>
    </comment>
  </commentList>
</comments>
</file>

<file path=xl/sharedStrings.xml><?xml version="1.0" encoding="utf-8"?>
<sst xmlns="http://schemas.openxmlformats.org/spreadsheetml/2006/main" count="489" uniqueCount="126">
  <si>
    <t xml:space="preserve">Tipo de material </t>
  </si>
  <si>
    <t>Centros de acopio (kg)</t>
  </si>
  <si>
    <t>Recolección casa a casa (kg)</t>
  </si>
  <si>
    <t>Envases plásticos</t>
  </si>
  <si>
    <t xml:space="preserve">Poliestireno de alta densidad (estereofón) </t>
  </si>
  <si>
    <t>Papel/cartón</t>
  </si>
  <si>
    <t>Envases de vidrio</t>
  </si>
  <si>
    <t>Enlatados y envases UAT “Tetra Pak</t>
  </si>
  <si>
    <t xml:space="preserve">Basura </t>
  </si>
  <si>
    <t>TOTAL GENERAL</t>
  </si>
  <si>
    <t>Marzo</t>
  </si>
  <si>
    <t>Abril</t>
  </si>
  <si>
    <t>Mayo</t>
  </si>
  <si>
    <t>Centros de Acopio</t>
  </si>
  <si>
    <t xml:space="preserve">Recoleccion casa a casa </t>
  </si>
  <si>
    <t>TOTAL (T)</t>
  </si>
  <si>
    <t>%</t>
  </si>
  <si>
    <t>Total (T) Anual</t>
  </si>
  <si>
    <t>Meses</t>
  </si>
  <si>
    <t xml:space="preserve">Enero </t>
  </si>
  <si>
    <t xml:space="preserve">Febrero </t>
  </si>
  <si>
    <t xml:space="preserve">Marzo </t>
  </si>
  <si>
    <t xml:space="preserve">Abril </t>
  </si>
  <si>
    <t>Junio</t>
  </si>
  <si>
    <t>Julio</t>
  </si>
  <si>
    <t>Agosto</t>
  </si>
  <si>
    <t>Septiembre</t>
  </si>
  <si>
    <t>Octubre</t>
  </si>
  <si>
    <t>Noviembre</t>
  </si>
  <si>
    <t>Diciembre</t>
  </si>
  <si>
    <t>Total (T) Mes</t>
  </si>
  <si>
    <t>Centros de acopio (ton)</t>
  </si>
  <si>
    <t>Recolección casa a casa (ton)</t>
  </si>
  <si>
    <t>TOTAL (ton)</t>
  </si>
  <si>
    <t>Plásticos</t>
  </si>
  <si>
    <t>NA</t>
  </si>
  <si>
    <t>Corte 30 Junio Reciclaje</t>
  </si>
  <si>
    <t>% de recuperación de residuos= # de residuos recuperados para reciclaje * 100 / # de residuos totales generados en el cantón (∑ residuos de reciclaje y residuos enviados a relleno sanitario)</t>
  </si>
  <si>
    <t>Especiales  Kg</t>
  </si>
  <si>
    <t>Peligrosos Kg</t>
  </si>
  <si>
    <t>Electrónicos</t>
  </si>
  <si>
    <t>Fluorescentes</t>
  </si>
  <si>
    <t>Baterías</t>
  </si>
  <si>
    <t>Cartuchos</t>
  </si>
  <si>
    <t xml:space="preserve">Total </t>
  </si>
  <si>
    <t>Campañas especiales de recuperación 4 y 5 de Junio</t>
  </si>
  <si>
    <t>Toneladas</t>
  </si>
  <si>
    <t>Servicios /Proyectos /Programas/Campañas</t>
  </si>
  <si>
    <t xml:space="preserve">Reciclaje de Especiales y Peligrosos 30 Junio </t>
  </si>
  <si>
    <t xml:space="preserve">Compostaje doméstico 30 Junio </t>
  </si>
  <si>
    <t xml:space="preserve">Corte 30 Junio Basura y No Tradicional </t>
  </si>
  <si>
    <t>% de residuos contaminados dentro de lo residuos recuperados: total de residuos contaminados * 100% / total de residuos recuperados en los distintos servicio de reciclaje</t>
  </si>
  <si>
    <t>Basura Waste-Tecno-Lumar</t>
  </si>
  <si>
    <t xml:space="preserve">Basura promedio Enero y Febrero Recresco  </t>
  </si>
  <si>
    <t>Total Basura mezclada</t>
  </si>
  <si>
    <t>% de recuperación de residuos a Junio =</t>
  </si>
  <si>
    <t>TOTAL (kg)</t>
  </si>
  <si>
    <t>JULIO</t>
  </si>
  <si>
    <t xml:space="preserve">Mayo </t>
  </si>
  <si>
    <t xml:space="preserve">Junio </t>
  </si>
  <si>
    <t xml:space="preserve">Julio </t>
  </si>
  <si>
    <t>AGOSTO</t>
  </si>
  <si>
    <t>Rutas casa a casa</t>
  </si>
  <si>
    <t>SETIEMBRE</t>
  </si>
  <si>
    <t>Recresco recolectaba 82,5T de basura al año en el 2019</t>
  </si>
  <si>
    <t xml:space="preserve">Porcentaje de basura dentro del reciclaje </t>
  </si>
  <si>
    <t>RECICLAJE</t>
  </si>
  <si>
    <t xml:space="preserve">BASURA  DENTRO DEL RECICLAJE </t>
  </si>
  <si>
    <t xml:space="preserve">TOTAL </t>
  </si>
  <si>
    <t>PORCENTAJE</t>
  </si>
  <si>
    <t>OCTUBRE</t>
  </si>
  <si>
    <t>Peso (ton)</t>
  </si>
  <si>
    <t>Pago (colones)</t>
  </si>
  <si>
    <t>Papel blanco</t>
  </si>
  <si>
    <t>Periódico</t>
  </si>
  <si>
    <t>Cartón</t>
  </si>
  <si>
    <t xml:space="preserve">Cartoncillo </t>
  </si>
  <si>
    <t>Revistas y papel de color</t>
  </si>
  <si>
    <t>Plásticos PET (1)</t>
  </si>
  <si>
    <t>Plásticos HDPE (2)</t>
  </si>
  <si>
    <t>Plástico PVC (3)</t>
  </si>
  <si>
    <t>Plástico LDPE (4)</t>
  </si>
  <si>
    <t>Aluminio</t>
  </si>
  <si>
    <t>Hojalata o latas férricas</t>
  </si>
  <si>
    <t>Tetra Brick</t>
  </si>
  <si>
    <t>Vidrio</t>
  </si>
  <si>
    <t>JUNIO</t>
  </si>
  <si>
    <t>MAYO</t>
  </si>
  <si>
    <t>ABRIL</t>
  </si>
  <si>
    <t xml:space="preserve">Papel blanco </t>
  </si>
  <si>
    <t xml:space="preserve">Periódico </t>
  </si>
  <si>
    <t xml:space="preserve">Cartón </t>
  </si>
  <si>
    <t xml:space="preserve">Revista y papel de color </t>
  </si>
  <si>
    <t xml:space="preserve">Plástico HDPE (2) </t>
  </si>
  <si>
    <t xml:space="preserve">Plástico PET (1) </t>
  </si>
  <si>
    <t xml:space="preserve">Plástico PVC (3) </t>
  </si>
  <si>
    <t xml:space="preserve">Plástico LDPE (4) </t>
  </si>
  <si>
    <t xml:space="preserve">Aluminio </t>
  </si>
  <si>
    <t xml:space="preserve">Hojalata o latas férreas </t>
  </si>
  <si>
    <t xml:space="preserve">Tetra Brick </t>
  </si>
  <si>
    <t xml:space="preserve">Vidrio </t>
  </si>
  <si>
    <t>MARZO</t>
  </si>
  <si>
    <t xml:space="preserve">RECICLAJE </t>
  </si>
  <si>
    <t>PERIODO 2020</t>
  </si>
  <si>
    <t xml:space="preserve">BASURA MEZCLADA </t>
  </si>
  <si>
    <t>Basura enero</t>
  </si>
  <si>
    <t xml:space="preserve">Basura Febrero </t>
  </si>
  <si>
    <t xml:space="preserve">Reciclaje Enero </t>
  </si>
  <si>
    <t xml:space="preserve">Reciclaje febrero </t>
  </si>
  <si>
    <t xml:space="preserve">Campaña 9 y 10 de enero </t>
  </si>
  <si>
    <t>kg</t>
  </si>
  <si>
    <t xml:space="preserve">Corte Diciembre Basura y No Tradicional </t>
  </si>
  <si>
    <t>Corte Diciembre Reciclaje</t>
  </si>
  <si>
    <t>Reciclaje de Especiales y Peligrosos a diciembre</t>
  </si>
  <si>
    <t>Compostaje doméstico a diciembre</t>
  </si>
  <si>
    <t>Compostaje de instituciones a diciembre</t>
  </si>
  <si>
    <t>% de residuos contaminados dentro de lo residuos recuperados a diciembre</t>
  </si>
  <si>
    <t>NOVIEMBRE</t>
  </si>
  <si>
    <t>% de recuperación de residuos a diciembre=</t>
  </si>
  <si>
    <t>DICIEMBRE</t>
  </si>
  <si>
    <t>Toneladas con basura de marzo a diciembre</t>
  </si>
  <si>
    <t>Porcentaje de Basura Mezclada</t>
  </si>
  <si>
    <t>Recresco recolectaba 403,38T de basura al año en el 2020</t>
  </si>
  <si>
    <t xml:space="preserve">Porcentaje de reciclaje recuperado </t>
  </si>
  <si>
    <t>Basura mezclada enero</t>
  </si>
  <si>
    <t xml:space="preserve">Basura mezclada Febrero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</si>
</sst>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00"/>
    <numFmt numFmtId="165" formatCode="0.000"/>
    <numFmt numFmtId="166" formatCode="0.0000"/>
    <numFmt numFmtId="167" formatCode="_-* #,##0_-;\-* #,##0_-;_-* &quot;-&quot;??_-;_-@_-"/>
    <numFmt numFmtId="168" formatCode="&quot;₡&quot;#,##0.00;[Red]&quot;₡&quot;#,##0.00"/>
    <numFmt numFmtId="169" formatCode="#,##0.00;[Red]#,##0.00"/>
    <numFmt numFmtId="170" formatCode="#,##0.0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rgb="FF000000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8EA9DB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7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3" fontId="1" fillId="2" borderId="0" xfId="0" applyNumberFormat="1" applyFont="1" applyFill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0" xfId="0" applyFont="1"/>
    <xf numFmtId="0" fontId="1" fillId="3" borderId="2" xfId="0" applyFont="1" applyFill="1" applyBorder="1"/>
    <xf numFmtId="0" fontId="0" fillId="3" borderId="2" xfId="0" applyFill="1" applyBorder="1"/>
    <xf numFmtId="0" fontId="1" fillId="3" borderId="2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1" fontId="0" fillId="2" borderId="0" xfId="0" applyNumberFormat="1" applyFill="1" applyAlignment="1">
      <alignment horizontal="center"/>
    </xf>
    <xf numFmtId="4" fontId="0" fillId="3" borderId="2" xfId="0" applyNumberFormat="1" applyFill="1" applyBorder="1" applyAlignment="1">
      <alignment horizontal="center"/>
    </xf>
    <xf numFmtId="4" fontId="1" fillId="2" borderId="0" xfId="0" applyNumberFormat="1" applyFont="1" applyFill="1" applyAlignment="1">
      <alignment horizontal="center"/>
    </xf>
    <xf numFmtId="2" fontId="5" fillId="3" borderId="2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6" fillId="0" borderId="0" xfId="0" applyNumberFormat="1" applyFont="1" applyAlignment="1">
      <alignment horizontal="center"/>
    </xf>
    <xf numFmtId="2" fontId="6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0" fontId="1" fillId="5" borderId="0" xfId="0" applyFont="1" applyFill="1" applyAlignment="1">
      <alignment horizontal="center"/>
    </xf>
    <xf numFmtId="2" fontId="1" fillId="5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8" fillId="6" borderId="10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7" borderId="0" xfId="0" applyFont="1" applyFill="1"/>
    <xf numFmtId="4" fontId="1" fillId="7" borderId="0" xfId="0" applyNumberFormat="1" applyFont="1" applyFill="1" applyAlignment="1">
      <alignment horizontal="center"/>
    </xf>
    <xf numFmtId="1" fontId="0" fillId="7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8" borderId="0" xfId="0" applyFill="1"/>
    <xf numFmtId="0" fontId="9" fillId="0" borderId="2" xfId="0" applyFont="1" applyBorder="1" applyAlignment="1">
      <alignment horizontal="center" vertical="justify"/>
    </xf>
    <xf numFmtId="2" fontId="10" fillId="0" borderId="2" xfId="0" applyNumberFormat="1" applyFont="1" applyBorder="1"/>
    <xf numFmtId="0" fontId="11" fillId="0" borderId="2" xfId="0" applyFont="1" applyBorder="1" applyAlignment="1">
      <alignment horizontal="center" vertical="justify"/>
    </xf>
    <xf numFmtId="1" fontId="5" fillId="0" borderId="0" xfId="0" applyNumberFormat="1" applyFont="1" applyAlignment="1">
      <alignment horizontal="center"/>
    </xf>
    <xf numFmtId="0" fontId="12" fillId="0" borderId="0" xfId="0" applyFont="1"/>
    <xf numFmtId="0" fontId="14" fillId="9" borderId="2" xfId="0" applyFont="1" applyFill="1" applyBorder="1"/>
    <xf numFmtId="168" fontId="15" fillId="0" borderId="2" xfId="0" applyNumberFormat="1" applyFont="1" applyBorder="1"/>
    <xf numFmtId="0" fontId="16" fillId="0" borderId="3" xfId="0" applyFont="1" applyBorder="1"/>
    <xf numFmtId="0" fontId="16" fillId="0" borderId="0" xfId="0" applyFont="1"/>
    <xf numFmtId="0" fontId="12" fillId="9" borderId="2" xfId="0" applyFont="1" applyFill="1" applyBorder="1"/>
    <xf numFmtId="0" fontId="15" fillId="0" borderId="2" xfId="0" applyFont="1" applyBorder="1"/>
    <xf numFmtId="165" fontId="15" fillId="0" borderId="2" xfId="0" applyNumberFormat="1" applyFont="1" applyBorder="1" applyAlignment="1">
      <alignment horizontal="right"/>
    </xf>
    <xf numFmtId="2" fontId="15" fillId="0" borderId="2" xfId="0" applyNumberFormat="1" applyFont="1" applyBorder="1" applyAlignment="1">
      <alignment horizontal="right"/>
    </xf>
    <xf numFmtId="169" fontId="14" fillId="9" borderId="2" xfId="0" applyNumberFormat="1" applyFont="1" applyFill="1" applyBorder="1" applyAlignment="1">
      <alignment horizontal="right"/>
    </xf>
    <xf numFmtId="2" fontId="14" fillId="9" borderId="2" xfId="0" applyNumberFormat="1" applyFont="1" applyFill="1" applyBorder="1" applyAlignment="1">
      <alignment horizontal="right"/>
    </xf>
    <xf numFmtId="168" fontId="14" fillId="9" borderId="2" xfId="0" applyNumberFormat="1" applyFont="1" applyFill="1" applyBorder="1" applyAlignment="1">
      <alignment horizontal="right"/>
    </xf>
    <xf numFmtId="0" fontId="14" fillId="9" borderId="2" xfId="0" applyFont="1" applyFill="1" applyBorder="1" applyAlignment="1">
      <alignment horizontal="right"/>
    </xf>
    <xf numFmtId="0" fontId="14" fillId="9" borderId="2" xfId="0" applyFont="1" applyFill="1" applyBorder="1" applyAlignment="1">
      <alignment horizontal="right" vertical="center"/>
    </xf>
    <xf numFmtId="0" fontId="14" fillId="0" borderId="0" xfId="0" applyFont="1"/>
    <xf numFmtId="2" fontId="1" fillId="0" borderId="0" xfId="0" applyNumberFormat="1" applyFont="1"/>
    <xf numFmtId="4" fontId="5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justify"/>
    </xf>
    <xf numFmtId="2" fontId="1" fillId="11" borderId="13" xfId="0" applyNumberFormat="1" applyFont="1" applyFill="1" applyBorder="1"/>
    <xf numFmtId="2" fontId="12" fillId="0" borderId="2" xfId="0" applyNumberFormat="1" applyFont="1" applyBorder="1"/>
    <xf numFmtId="2" fontId="18" fillId="0" borderId="0" xfId="0" applyNumberFormat="1" applyFont="1"/>
    <xf numFmtId="165" fontId="0" fillId="0" borderId="0" xfId="0" applyNumberFormat="1"/>
    <xf numFmtId="0" fontId="15" fillId="0" borderId="22" xfId="0" applyFont="1" applyBorder="1"/>
    <xf numFmtId="164" fontId="1" fillId="2" borderId="0" xfId="0" applyNumberFormat="1" applyFont="1" applyFill="1" applyAlignment="1">
      <alignment horizontal="center"/>
    </xf>
    <xf numFmtId="164" fontId="17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7" fillId="3" borderId="2" xfId="0" applyNumberFormat="1" applyFon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6" fontId="0" fillId="0" borderId="0" xfId="0" applyNumberFormat="1"/>
    <xf numFmtId="165" fontId="0" fillId="11" borderId="0" xfId="0" applyNumberFormat="1" applyFill="1"/>
    <xf numFmtId="166" fontId="0" fillId="11" borderId="0" xfId="0" applyNumberFormat="1" applyFill="1"/>
    <xf numFmtId="170" fontId="0" fillId="0" borderId="0" xfId="0" applyNumberFormat="1" applyAlignment="1">
      <alignment horizontal="center"/>
    </xf>
    <xf numFmtId="2" fontId="18" fillId="0" borderId="15" xfId="0" applyNumberFormat="1" applyFont="1" applyBorder="1"/>
    <xf numFmtId="0" fontId="19" fillId="0" borderId="11" xfId="0" applyFont="1" applyBorder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5" fillId="3" borderId="2" xfId="0" applyFont="1" applyFill="1" applyBorder="1"/>
    <xf numFmtId="4" fontId="5" fillId="3" borderId="2" xfId="0" applyNumberFormat="1" applyFont="1" applyFill="1" applyBorder="1" applyAlignment="1">
      <alignment horizontal="center"/>
    </xf>
    <xf numFmtId="1" fontId="0" fillId="0" borderId="0" xfId="0" applyNumberFormat="1"/>
    <xf numFmtId="0" fontId="7" fillId="5" borderId="6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5" borderId="0" xfId="0" applyFont="1" applyFill="1" applyAlignment="1">
      <alignment horizont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/>
    </xf>
    <xf numFmtId="0" fontId="1" fillId="11" borderId="13" xfId="0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9" borderId="17" xfId="0" applyFont="1" applyFill="1" applyBorder="1" applyAlignment="1">
      <alignment horizontal="center"/>
    </xf>
    <xf numFmtId="0" fontId="14" fillId="9" borderId="18" xfId="0" applyFont="1" applyFill="1" applyBorder="1" applyAlignment="1">
      <alignment horizontal="center"/>
    </xf>
    <xf numFmtId="0" fontId="14" fillId="9" borderId="19" xfId="0" applyFont="1" applyFill="1" applyBorder="1" applyAlignment="1">
      <alignment horizontal="center"/>
    </xf>
    <xf numFmtId="0" fontId="14" fillId="10" borderId="17" xfId="0" applyFont="1" applyFill="1" applyBorder="1" applyAlignment="1">
      <alignment horizontal="center"/>
    </xf>
    <xf numFmtId="0" fontId="14" fillId="10" borderId="19" xfId="0" applyFont="1" applyFill="1" applyBorder="1" applyAlignment="1">
      <alignment horizontal="center"/>
    </xf>
    <xf numFmtId="0" fontId="12" fillId="9" borderId="17" xfId="0" applyFont="1" applyFill="1" applyBorder="1" applyAlignment="1">
      <alignment horizontal="center"/>
    </xf>
    <xf numFmtId="0" fontId="12" fillId="9" borderId="19" xfId="0" applyFont="1" applyFill="1" applyBorder="1" applyAlignment="1">
      <alignment horizontal="center"/>
    </xf>
    <xf numFmtId="3" fontId="15" fillId="0" borderId="2" xfId="0" applyNumberFormat="1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4" fontId="15" fillId="0" borderId="2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5" fillId="0" borderId="17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6" fillId="0" borderId="18" xfId="0" applyFont="1" applyBorder="1" applyAlignment="1">
      <alignment horizontal="center"/>
    </xf>
    <xf numFmtId="165" fontId="15" fillId="0" borderId="17" xfId="0" applyNumberFormat="1" applyFont="1" applyBorder="1" applyAlignment="1">
      <alignment horizontal="center"/>
    </xf>
    <xf numFmtId="165" fontId="15" fillId="0" borderId="19" xfId="0" applyNumberFormat="1" applyFont="1" applyBorder="1" applyAlignment="1">
      <alignment horizontal="center"/>
    </xf>
    <xf numFmtId="165" fontId="14" fillId="10" borderId="17" xfId="0" applyNumberFormat="1" applyFont="1" applyFill="1" applyBorder="1" applyAlignment="1">
      <alignment horizontal="center"/>
    </xf>
    <xf numFmtId="165" fontId="14" fillId="10" borderId="19" xfId="0" applyNumberFormat="1" applyFont="1" applyFill="1" applyBorder="1" applyAlignment="1">
      <alignment horizontal="center"/>
    </xf>
    <xf numFmtId="1" fontId="12" fillId="9" borderId="17" xfId="0" applyNumberFormat="1" applyFont="1" applyFill="1" applyBorder="1" applyAlignment="1">
      <alignment horizontal="center"/>
    </xf>
    <xf numFmtId="1" fontId="12" fillId="9" borderId="19" xfId="0" applyNumberFormat="1" applyFont="1" applyFill="1" applyBorder="1" applyAlignment="1">
      <alignment horizontal="center"/>
    </xf>
    <xf numFmtId="1" fontId="10" fillId="0" borderId="17" xfId="0" applyNumberFormat="1" applyFont="1" applyBorder="1" applyAlignment="1">
      <alignment horizontal="center"/>
    </xf>
    <xf numFmtId="1" fontId="10" fillId="0" borderId="19" xfId="0" applyNumberFormat="1" applyFont="1" applyBorder="1" applyAlignment="1">
      <alignment horizontal="center"/>
    </xf>
    <xf numFmtId="165" fontId="15" fillId="0" borderId="17" xfId="0" applyNumberFormat="1" applyFont="1" applyBorder="1" applyAlignment="1">
      <alignment horizontal="center" wrapText="1"/>
    </xf>
    <xf numFmtId="165" fontId="15" fillId="0" borderId="19" xfId="0" applyNumberFormat="1" applyFont="1" applyBorder="1" applyAlignment="1">
      <alignment horizontal="center" wrapText="1"/>
    </xf>
    <xf numFmtId="0" fontId="15" fillId="11" borderId="17" xfId="0" applyFont="1" applyFill="1" applyBorder="1" applyAlignment="1">
      <alignment horizontal="center"/>
    </xf>
    <xf numFmtId="0" fontId="15" fillId="11" borderId="18" xfId="0" applyFont="1" applyFill="1" applyBorder="1" applyAlignment="1">
      <alignment horizontal="center"/>
    </xf>
    <xf numFmtId="0" fontId="15" fillId="11" borderId="19" xfId="0" applyFont="1" applyFill="1" applyBorder="1" applyAlignment="1">
      <alignment horizontal="center"/>
    </xf>
    <xf numFmtId="165" fontId="15" fillId="11" borderId="17" xfId="0" applyNumberFormat="1" applyFont="1" applyFill="1" applyBorder="1" applyAlignment="1">
      <alignment horizontal="center"/>
    </xf>
    <xf numFmtId="165" fontId="15" fillId="11" borderId="19" xfId="0" applyNumberFormat="1" applyFont="1" applyFill="1" applyBorder="1" applyAlignment="1">
      <alignment horizontal="center"/>
    </xf>
    <xf numFmtId="167" fontId="10" fillId="0" borderId="17" xfId="1" applyNumberFormat="1" applyFont="1" applyBorder="1" applyAlignment="1">
      <alignment horizontal="center"/>
    </xf>
    <xf numFmtId="167" fontId="10" fillId="0" borderId="19" xfId="1" applyNumberFormat="1" applyFont="1" applyBorder="1" applyAlignment="1">
      <alignment horizontal="center"/>
    </xf>
    <xf numFmtId="167" fontId="12" fillId="9" borderId="17" xfId="1" applyNumberFormat="1" applyFont="1" applyFill="1" applyBorder="1" applyAlignment="1">
      <alignment horizontal="center"/>
    </xf>
    <xf numFmtId="167" fontId="12" fillId="9" borderId="19" xfId="1" applyNumberFormat="1" applyFont="1" applyFill="1" applyBorder="1" applyAlignment="1">
      <alignment horizontal="center"/>
    </xf>
    <xf numFmtId="165" fontId="15" fillId="11" borderId="17" xfId="0" applyNumberFormat="1" applyFont="1" applyFill="1" applyBorder="1" applyAlignment="1">
      <alignment horizontal="center" wrapText="1"/>
    </xf>
    <xf numFmtId="165" fontId="15" fillId="11" borderId="19" xfId="0" applyNumberFormat="1" applyFont="1" applyFill="1" applyBorder="1" applyAlignment="1">
      <alignment horizontal="center" wrapText="1"/>
    </xf>
    <xf numFmtId="166" fontId="15" fillId="11" borderId="17" xfId="0" applyNumberFormat="1" applyFont="1" applyFill="1" applyBorder="1" applyAlignment="1">
      <alignment horizontal="center"/>
    </xf>
    <xf numFmtId="166" fontId="15" fillId="11" borderId="19" xfId="0" applyNumberFormat="1" applyFont="1" applyFill="1" applyBorder="1" applyAlignment="1">
      <alignment horizontal="center"/>
    </xf>
    <xf numFmtId="166" fontId="15" fillId="0" borderId="17" xfId="0" applyNumberFormat="1" applyFont="1" applyBorder="1" applyAlignment="1">
      <alignment horizontal="center"/>
    </xf>
    <xf numFmtId="166" fontId="15" fillId="0" borderId="19" xfId="0" applyNumberFormat="1" applyFont="1" applyBorder="1" applyAlignment="1">
      <alignment horizontal="center"/>
    </xf>
    <xf numFmtId="167" fontId="10" fillId="0" borderId="17" xfId="2" applyNumberFormat="1" applyFont="1" applyBorder="1" applyAlignment="1">
      <alignment horizontal="center"/>
    </xf>
    <xf numFmtId="167" fontId="10" fillId="0" borderId="19" xfId="2" applyNumberFormat="1" applyFont="1" applyBorder="1" applyAlignment="1">
      <alignment horizontal="center"/>
    </xf>
    <xf numFmtId="167" fontId="10" fillId="0" borderId="17" xfId="3" applyNumberFormat="1" applyFont="1" applyBorder="1" applyAlignment="1">
      <alignment horizontal="center"/>
    </xf>
    <xf numFmtId="167" fontId="10" fillId="0" borderId="19" xfId="3" applyNumberFormat="1" applyFont="1" applyBorder="1" applyAlignment="1">
      <alignment horizontal="center"/>
    </xf>
    <xf numFmtId="167" fontId="10" fillId="0" borderId="17" xfId="4" applyNumberFormat="1" applyFont="1" applyBorder="1" applyAlignment="1">
      <alignment horizontal="center"/>
    </xf>
    <xf numFmtId="167" fontId="10" fillId="0" borderId="19" xfId="4" applyNumberFormat="1" applyFont="1" applyBorder="1" applyAlignment="1">
      <alignment horizontal="center"/>
    </xf>
    <xf numFmtId="2" fontId="14" fillId="10" borderId="17" xfId="0" applyNumberFormat="1" applyFont="1" applyFill="1" applyBorder="1" applyAlignment="1">
      <alignment horizontal="center"/>
    </xf>
    <xf numFmtId="2" fontId="14" fillId="10" borderId="19" xfId="0" applyNumberFormat="1" applyFont="1" applyFill="1" applyBorder="1" applyAlignment="1">
      <alignment horizontal="center"/>
    </xf>
  </cellXfs>
  <cellStyles count="5">
    <cellStyle name="Millares" xfId="1" builtinId="3"/>
    <cellStyle name="Millares 2" xfId="2" xr:uid="{5272E641-7D18-4A49-99DC-F608032B4C0E}"/>
    <cellStyle name="Millares 3" xfId="3" xr:uid="{E4FDA446-110B-4FC2-985F-707138424642}"/>
    <cellStyle name="Millares 4" xfId="4" xr:uid="{B8A9B70A-817A-4F02-BFCD-A5D1950BD8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Porcentaje de "basura mezclada" dentro del reciclaje.</a:t>
            </a:r>
            <a:r>
              <a:rPr lang="es-CR" baseline="0"/>
              <a:t> </a:t>
            </a:r>
          </a:p>
          <a:p>
            <a:pPr>
              <a:defRPr/>
            </a:pPr>
            <a:r>
              <a:rPr lang="es-CR" baseline="0"/>
              <a:t>Periodo </a:t>
            </a:r>
            <a:r>
              <a:rPr lang="es-CR"/>
              <a:t>2020</a:t>
            </a:r>
          </a:p>
        </c:rich>
      </c:tx>
      <c:layout>
        <c:manualLayout>
          <c:xMode val="edge"/>
          <c:yMode val="edge"/>
          <c:x val="8.7597331583552041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00-4296-BB8B-B4337CFF23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00-4296-BB8B-B4337CFF23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Hoja1!$K$47:$L$47</c:f>
              <c:strCache>
                <c:ptCount val="2"/>
                <c:pt idx="0">
                  <c:v>RECICLAJE</c:v>
                </c:pt>
                <c:pt idx="1">
                  <c:v>BASURA  DENTRO DEL RECICLAJE </c:v>
                </c:pt>
              </c:strCache>
            </c:strRef>
          </c:cat>
          <c:val>
            <c:numRef>
              <c:f>Hoja1!$K$49:$L$49</c:f>
              <c:numCache>
                <c:formatCode>0.00</c:formatCode>
                <c:ptCount val="2"/>
                <c:pt idx="0">
                  <c:v>72.309789489535461</c:v>
                </c:pt>
                <c:pt idx="1">
                  <c:v>27.690210510464546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3-4947-9D10-93FA7D9D9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Hoja2!$I$3:$I$16</c:f>
              <c:strCache>
                <c:ptCount val="14"/>
                <c:pt idx="0">
                  <c:v>Papel blanco</c:v>
                </c:pt>
                <c:pt idx="1">
                  <c:v>Periódico</c:v>
                </c:pt>
                <c:pt idx="2">
                  <c:v>Cartón</c:v>
                </c:pt>
                <c:pt idx="3">
                  <c:v>Cartoncillo </c:v>
                </c:pt>
                <c:pt idx="4">
                  <c:v>Revistas y papel de color</c:v>
                </c:pt>
                <c:pt idx="5">
                  <c:v>Plásticos PET (1)</c:v>
                </c:pt>
                <c:pt idx="6">
                  <c:v>Plásticos HDPE (2)</c:v>
                </c:pt>
                <c:pt idx="7">
                  <c:v>Plástico PVC (3)</c:v>
                </c:pt>
                <c:pt idx="8">
                  <c:v>Plástico LDPE (4)</c:v>
                </c:pt>
                <c:pt idx="9">
                  <c:v>Aluminio</c:v>
                </c:pt>
                <c:pt idx="10">
                  <c:v>Hojalata o latas férricas</c:v>
                </c:pt>
                <c:pt idx="11">
                  <c:v>Tetra Brick</c:v>
                </c:pt>
                <c:pt idx="12">
                  <c:v>Vidrio</c:v>
                </c:pt>
                <c:pt idx="13">
                  <c:v>Basura </c:v>
                </c:pt>
              </c:strCache>
            </c:strRef>
          </c:cat>
          <c:val>
            <c:numRef>
              <c:f>Hoja2!$K$3:$K$16</c:f>
              <c:numCache>
                <c:formatCode>0.00</c:formatCode>
                <c:ptCount val="14"/>
                <c:pt idx="0">
                  <c:v>1.5739112637246493</c:v>
                </c:pt>
                <c:pt idx="1">
                  <c:v>0.53537257327216492</c:v>
                </c:pt>
                <c:pt idx="2">
                  <c:v>13.959459336690275</c:v>
                </c:pt>
                <c:pt idx="3">
                  <c:v>16.744558316586939</c:v>
                </c:pt>
                <c:pt idx="4">
                  <c:v>2.5073016542867048</c:v>
                </c:pt>
                <c:pt idx="5">
                  <c:v>6.4213074209942755</c:v>
                </c:pt>
                <c:pt idx="6">
                  <c:v>5.1454556524792663</c:v>
                </c:pt>
                <c:pt idx="7">
                  <c:v>2.2769032515139117E-2</c:v>
                </c:pt>
                <c:pt idx="8">
                  <c:v>2.0936072446432012</c:v>
                </c:pt>
                <c:pt idx="9">
                  <c:v>0.96493495617381075</c:v>
                </c:pt>
                <c:pt idx="10">
                  <c:v>5.1005287960294616</c:v>
                </c:pt>
                <c:pt idx="11">
                  <c:v>4.8799445270723298</c:v>
                </c:pt>
                <c:pt idx="12">
                  <c:v>9.5382298750478611</c:v>
                </c:pt>
                <c:pt idx="13">
                  <c:v>30.51261935048392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2-497F-AFBB-635F13C3F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61853856"/>
        <c:axId val="1596865968"/>
      </c:barChart>
      <c:catAx>
        <c:axId val="1761853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96865968"/>
        <c:crosses val="autoZero"/>
        <c:auto val="1"/>
        <c:lblAlgn val="ctr"/>
        <c:lblOffset val="100"/>
        <c:noMultiLvlLbl val="0"/>
      </c:catAx>
      <c:valAx>
        <c:axId val="1596865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76185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Hoja5!$C$2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Hoja5!$A$3:$A$15</c:f>
              <c:strCache>
                <c:ptCount val="13"/>
                <c:pt idx="0">
                  <c:v>Plástico PVC (3)</c:v>
                </c:pt>
                <c:pt idx="1">
                  <c:v>Periódico</c:v>
                </c:pt>
                <c:pt idx="2">
                  <c:v>Aluminio</c:v>
                </c:pt>
                <c:pt idx="3">
                  <c:v>Papel blanco</c:v>
                </c:pt>
                <c:pt idx="4">
                  <c:v>Plástico LDPE (4)</c:v>
                </c:pt>
                <c:pt idx="5">
                  <c:v>Revistas y papel de color</c:v>
                </c:pt>
                <c:pt idx="6">
                  <c:v>Tetra Brick</c:v>
                </c:pt>
                <c:pt idx="7">
                  <c:v>Hojalata o latas férricas</c:v>
                </c:pt>
                <c:pt idx="8">
                  <c:v>Plásticos HDPE (2)</c:v>
                </c:pt>
                <c:pt idx="9">
                  <c:v>Plásticos PET (1)</c:v>
                </c:pt>
                <c:pt idx="10">
                  <c:v>Vidrio</c:v>
                </c:pt>
                <c:pt idx="11">
                  <c:v>Cartón</c:v>
                </c:pt>
                <c:pt idx="12">
                  <c:v>Cartoncillo </c:v>
                </c:pt>
              </c:strCache>
            </c:strRef>
          </c:cat>
          <c:val>
            <c:numRef>
              <c:f>Hoja5!$C$3:$C$15</c:f>
              <c:numCache>
                <c:formatCode>0.00</c:formatCode>
                <c:ptCount val="13"/>
                <c:pt idx="0">
                  <c:v>2.2769032515139117E-2</c:v>
                </c:pt>
                <c:pt idx="1">
                  <c:v>0.53537257327216492</c:v>
                </c:pt>
                <c:pt idx="2">
                  <c:v>0.96493495617381075</c:v>
                </c:pt>
                <c:pt idx="3">
                  <c:v>1.5739112637246493</c:v>
                </c:pt>
                <c:pt idx="4">
                  <c:v>2.0936072446432012</c:v>
                </c:pt>
                <c:pt idx="5">
                  <c:v>2.5073016542867048</c:v>
                </c:pt>
                <c:pt idx="6">
                  <c:v>4.8799445270723298</c:v>
                </c:pt>
                <c:pt idx="7">
                  <c:v>5.1005287960294616</c:v>
                </c:pt>
                <c:pt idx="8">
                  <c:v>5.1454556524792663</c:v>
                </c:pt>
                <c:pt idx="9">
                  <c:v>6.4213074209942755</c:v>
                </c:pt>
                <c:pt idx="10">
                  <c:v>9.5382298750478611</c:v>
                </c:pt>
                <c:pt idx="11">
                  <c:v>13.959459336690275</c:v>
                </c:pt>
                <c:pt idx="12">
                  <c:v>16.744558316586939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0-45C7-832B-120B27E2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61901456"/>
        <c:axId val="1596823536"/>
      </c:barChart>
      <c:catAx>
        <c:axId val="176190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596823536"/>
        <c:crosses val="autoZero"/>
        <c:auto val="1"/>
        <c:lblAlgn val="ctr"/>
        <c:lblOffset val="100"/>
        <c:noMultiLvlLbl val="0"/>
      </c:catAx>
      <c:valAx>
        <c:axId val="1596823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76190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74839</xdr:colOff>
      <xdr:row>50</xdr:row>
      <xdr:rowOff>55108</xdr:rowOff>
    </xdr:from>
    <xdr:to>
      <xdr:col>11</xdr:col>
      <xdr:colOff>721179</xdr:colOff>
      <xdr:row>71</xdr:row>
      <xdr:rowOff>54429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6B50B90-558C-498F-AA1C-C898A42400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756396</xdr:colOff>
      <xdr:row>24</xdr:row>
      <xdr:rowOff>107575</xdr:rowOff>
    </xdr:from>
    <xdr:to>
      <xdr:col>10</xdr:col>
      <xdr:colOff>341778</xdr:colOff>
      <xdr:row>37</xdr:row>
      <xdr:rowOff>161364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7B9C0F-61EB-4C6D-A3FF-EE54BC6DF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3</xdr:row>
      <xdr:rowOff>0</xdr:rowOff>
    </xdr:from>
    <xdr:to>
      <xdr:col>9</xdr:col>
      <xdr:colOff>552450</xdr:colOff>
      <xdr:row>16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C542511-756F-431E-966E-5D818E0C9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TROL%20DE%20TONELAJE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"/>
      <sheetName val="REPORTE (2)"/>
      <sheetName val="CUADRO"/>
      <sheetName val="Hoja3"/>
      <sheetName val="Feria"/>
      <sheetName val="Hoja2"/>
      <sheetName val="Hoja1"/>
      <sheetName val="Tabla final compilada"/>
      <sheetName val="Herd-17-No Tradicional-Guararí"/>
      <sheetName val="Herd-05 Guarari-Ebais"/>
    </sheetNames>
    <sheetDataSet>
      <sheetData sheetId="0"/>
      <sheetData sheetId="1"/>
      <sheetData sheetId="2">
        <row r="33">
          <cell r="O33">
            <v>46158.619999999995</v>
          </cell>
        </row>
        <row r="35">
          <cell r="O35">
            <v>22936.690000000002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eresita Granados" id="{A538832A-E0CC-4C2A-A9CB-872F115D987E}" userId="S::tgranados@heredia.go.cr::16a9d745-4977-4fef-9bd8-acf657d54d6c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0-07-14T21:47:27.53" personId="{A538832A-E0CC-4C2A-A9CB-872F115D987E}" id="{FF289CB0-54E3-4CB5-86FA-DF86E40BB813}">
    <text>Dato promedio del periodo 2019</text>
  </threadedComment>
  <threadedComment ref="A2" dT="2020-07-14T21:47:33.04" personId="{A538832A-E0CC-4C2A-A9CB-872F115D987E}" id="{768145FE-B224-483A-8575-3BC764C953F5}">
    <text>Dato promedio del periodo 2019</text>
  </threadedComment>
  <threadedComment ref="A3" dT="2020-11-04T20:39:18.66" personId="{A538832A-E0CC-4C2A-A9CB-872F115D987E}" id="{1B9D31B1-BD39-40F5-BE23-ADA89A0A687E}">
    <text>Dato promedio del periodo 2019</text>
  </threadedComment>
  <threadedComment ref="A4" dT="2020-11-04T20:39:22.78" personId="{A538832A-E0CC-4C2A-A9CB-872F115D987E}" id="{B8C222DB-AB1F-4050-94EB-8D519DAB6730}">
    <text>Dato promedio del periodo 2019</text>
  </threadedComment>
  <threadedComment ref="H17" dT="2020-07-14T23:06:32.56" personId="{A538832A-E0CC-4C2A-A9CB-872F115D987E}" id="{60CD193D-C71F-4F89-BC69-370B27A66BB5}">
    <text>datos de basura del 2019 para Enero y Febrero</text>
  </threadedComment>
  <threadedComment ref="H21" dT="2020-07-14T21:47:27.53" personId="{A538832A-E0CC-4C2A-A9CB-872F115D987E}" id="{7B810EA5-9C7E-422C-83AC-D72BE1C78C89}">
    <text>Dato promedio del periodo 2019</text>
  </threadedComment>
  <threadedComment ref="H22" dT="2020-07-14T21:47:33.04" personId="{A538832A-E0CC-4C2A-A9CB-872F115D987E}" id="{C4FEE0F8-2436-41BA-BABC-1556C8DFA39B}">
    <text>Dato promedio del periodo 2019</text>
  </threadedComment>
  <threadedComment ref="K22" dT="2020-07-14T21:57:57.37" personId="{A538832A-E0CC-4C2A-A9CB-872F115D987E}" id="{F241D16A-A41F-45B4-A555-8CEA8A8B3B91}">
    <text>430 composteras en uso activas * 10kg c/u por semana * 52 Semanas del año</text>
  </threadedComment>
  <threadedComment ref="K29" dT="2020-07-14T21:57:57.37" personId="{A538832A-E0CC-4C2A-A9CB-872F115D987E}" id="{E95BFA25-9B42-40EA-B3A0-B7743CCAECB8}">
    <text>468 composteras en uso activas en casas + 2 en MinSalud y Oficina de la Mujer * 10kg c/u por semana * 52 Semanas del año</text>
  </threadedComment>
  <threadedComment ref="K30" dT="2020-11-12T23:10:31.83" personId="{A538832A-E0CC-4C2A-A9CB-872F115D987E}" id="{FE6BE0ED-A000-46C8-9569-58988D1238C4}">
    <text>468 VIVIENDAS + 2 EN MINSALUD Y OFICINA DE LA MUJER</text>
  </threadedComment>
  <threadedComment ref="H37" dT="2020-08-11T17:22:09.91" personId="{A538832A-E0CC-4C2A-A9CB-872F115D987E}" id="{D7578222-7D0C-4773-8AC1-6EB2C5E6DC8D}">
    <text>Datos promedio del 2019</text>
  </threadedComment>
  <threadedComment ref="H38" dT="2020-08-11T17:22:20.75" personId="{A538832A-E0CC-4C2A-A9CB-872F115D987E}" id="{C02C8077-D187-48D7-8681-7C215D9962DC}">
    <text>Datos promedio del 2019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N2" dT="2020-07-14T21:47:27.53" personId="{A538832A-E0CC-4C2A-A9CB-872F115D987E}" id="{D2148E3F-1562-4F41-8805-527254FF6EB4}">
    <text>Dato promedio del periodo 2019,</text>
  </threadedComment>
  <threadedComment ref="N3" dT="2020-07-14T21:47:33.04" personId="{A538832A-E0CC-4C2A-A9CB-872F115D987E}" id="{2E50A725-F325-4E26-82DD-D2F45A63F7C5}">
    <text>Dato promedio del periodo 2019</text>
  </threadedComment>
  <threadedComment ref="N4" dT="2020-11-04T20:39:18.66" personId="{A538832A-E0CC-4C2A-A9CB-872F115D987E}" id="{03EBE594-CB1F-42B8-8574-6AA3CA9C0362}">
    <text>Dato promedio del periodo 2019</text>
  </threadedComment>
  <threadedComment ref="N5" dT="2020-11-04T20:39:22.78" personId="{A538832A-E0CC-4C2A-A9CB-872F115D987E}" id="{CEA152D3-5F44-4AA6-9C7B-7BAAEDC49B0B}">
    <text>Dato promedio del periodo 2019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1"/>
  <sheetViews>
    <sheetView tabSelected="1" topLeftCell="F26" zoomScale="70" zoomScaleNormal="70" workbookViewId="0">
      <selection activeCell="C5" sqref="C5"/>
    </sheetView>
  </sheetViews>
  <sheetFormatPr baseColWidth="10" defaultRowHeight="15" x14ac:dyDescent="0.25"/>
  <cols>
    <col min="1" max="1" width="50.5703125" bestFit="1" customWidth="1"/>
    <col min="2" max="2" width="28.7109375" bestFit="1" customWidth="1"/>
    <col min="3" max="3" width="36.7109375" bestFit="1" customWidth="1"/>
    <col min="4" max="4" width="15.42578125" bestFit="1" customWidth="1"/>
    <col min="5" max="5" width="9.28515625" style="3" bestFit="1" customWidth="1"/>
    <col min="6" max="6" width="41" bestFit="1" customWidth="1"/>
    <col min="7" max="7" width="43.5703125" bestFit="1" customWidth="1"/>
    <col min="8" max="8" width="18.28515625" style="3" bestFit="1" customWidth="1"/>
    <col min="9" max="9" width="4.140625" customWidth="1"/>
    <col min="10" max="10" width="56.85546875" customWidth="1"/>
    <col min="11" max="11" width="18.28515625" bestFit="1" customWidth="1"/>
    <col min="13" max="13" width="14" customWidth="1"/>
    <col min="14" max="14" width="23.85546875" bestFit="1" customWidth="1"/>
    <col min="15" max="15" width="17" bestFit="1" customWidth="1"/>
    <col min="16" max="16" width="17.5703125" customWidth="1"/>
    <col min="17" max="17" width="15.140625" customWidth="1"/>
  </cols>
  <sheetData>
    <row r="1" spans="1:17" x14ac:dyDescent="0.25">
      <c r="A1" s="4">
        <v>77.790000000000006</v>
      </c>
      <c r="B1" t="s">
        <v>107</v>
      </c>
    </row>
    <row r="2" spans="1:17" x14ac:dyDescent="0.25">
      <c r="A2" s="4">
        <v>85.42</v>
      </c>
      <c r="B2" t="s">
        <v>108</v>
      </c>
    </row>
    <row r="3" spans="1:17" x14ac:dyDescent="0.25">
      <c r="A3" s="74">
        <v>4.9000000000000004</v>
      </c>
      <c r="B3" t="s">
        <v>105</v>
      </c>
    </row>
    <row r="4" spans="1:17" x14ac:dyDescent="0.25">
      <c r="A4" s="74">
        <v>6</v>
      </c>
      <c r="B4" t="s">
        <v>106</v>
      </c>
    </row>
    <row r="5" spans="1:17" ht="15.75" thickBot="1" x14ac:dyDescent="0.3"/>
    <row r="6" spans="1:17" ht="39" customHeight="1" thickBot="1" x14ac:dyDescent="0.3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M6" s="114" t="s">
        <v>45</v>
      </c>
      <c r="N6" s="115"/>
      <c r="O6" s="115"/>
      <c r="P6" s="115"/>
      <c r="Q6" s="116"/>
    </row>
    <row r="7" spans="1:17" ht="19.5" thickBot="1" x14ac:dyDescent="0.35">
      <c r="A7" s="106" t="s">
        <v>10</v>
      </c>
      <c r="B7" s="106"/>
      <c r="C7" s="106"/>
      <c r="D7" s="106"/>
      <c r="E7" s="106"/>
      <c r="G7" s="10" t="s">
        <v>13</v>
      </c>
      <c r="H7" s="10" t="s">
        <v>17</v>
      </c>
      <c r="J7" s="8" t="s">
        <v>14</v>
      </c>
      <c r="K7" s="8" t="s">
        <v>17</v>
      </c>
      <c r="M7" s="25" t="s">
        <v>38</v>
      </c>
      <c r="N7" s="109" t="s">
        <v>39</v>
      </c>
      <c r="O7" s="110"/>
      <c r="P7" s="111"/>
      <c r="Q7" s="112" t="s">
        <v>44</v>
      </c>
    </row>
    <row r="8" spans="1:17" ht="15.75" thickBot="1" x14ac:dyDescent="0.3">
      <c r="A8" s="1" t="s">
        <v>0</v>
      </c>
      <c r="B8" s="1" t="s">
        <v>1</v>
      </c>
      <c r="C8" s="2" t="s">
        <v>2</v>
      </c>
      <c r="D8" s="2" t="s">
        <v>15</v>
      </c>
      <c r="E8" s="2" t="s">
        <v>16</v>
      </c>
      <c r="G8" s="9" t="s">
        <v>3</v>
      </c>
      <c r="H8" s="14">
        <f t="shared" ref="H8:H13" si="0">+SUM(B9,B19,B29,B39,B49,B59,B69,B79,B89,B99)</f>
        <v>11.495674999999999</v>
      </c>
      <c r="J8" s="9" t="s">
        <v>3</v>
      </c>
      <c r="K8" s="14">
        <f t="shared" ref="K8:K13" si="1">+SUM(C9,C19,C29,C39,C49,C59,C69,C79,C89,C99)</f>
        <v>169.09115</v>
      </c>
      <c r="M8" s="26" t="s">
        <v>40</v>
      </c>
      <c r="N8" s="27" t="s">
        <v>41</v>
      </c>
      <c r="O8" s="27" t="s">
        <v>42</v>
      </c>
      <c r="P8" s="30" t="s">
        <v>43</v>
      </c>
      <c r="Q8" s="113"/>
    </row>
    <row r="9" spans="1:17" ht="15.75" thickBot="1" x14ac:dyDescent="0.3">
      <c r="A9" t="s">
        <v>3</v>
      </c>
      <c r="B9" s="47">
        <v>2.1269999999999998</v>
      </c>
      <c r="C9" s="17">
        <f>17664.5/1000</f>
        <v>17.6645</v>
      </c>
      <c r="D9" s="4">
        <f>SUM(B9:C9)</f>
        <v>19.791499999999999</v>
      </c>
      <c r="E9" s="11">
        <f>+D9*100/$D$15</f>
        <v>13.850573506049981</v>
      </c>
      <c r="G9" s="9" t="s">
        <v>4</v>
      </c>
      <c r="H9" s="14">
        <f t="shared" si="0"/>
        <v>0.30149999999999999</v>
      </c>
      <c r="J9" s="9" t="s">
        <v>4</v>
      </c>
      <c r="K9" s="14">
        <f t="shared" si="1"/>
        <v>0</v>
      </c>
      <c r="M9" s="28">
        <v>1283.3</v>
      </c>
      <c r="N9" s="29">
        <v>280.41000000000003</v>
      </c>
      <c r="O9" s="29">
        <v>180.12</v>
      </c>
      <c r="P9" s="31">
        <v>126.05</v>
      </c>
      <c r="Q9" s="78">
        <f>+SUM(M9:P9,O11)/1000</f>
        <v>4.0176400000000001</v>
      </c>
    </row>
    <row r="10" spans="1:17" x14ac:dyDescent="0.25">
      <c r="A10" t="s">
        <v>4</v>
      </c>
      <c r="B10" s="47">
        <f>0.5/1000</f>
        <v>5.0000000000000001E-4</v>
      </c>
      <c r="C10" s="17">
        <f>0/1000</f>
        <v>0</v>
      </c>
      <c r="D10" s="4">
        <f t="shared" ref="D10:D14" si="2">SUM(B10:C10)</f>
        <v>5.0000000000000001E-4</v>
      </c>
      <c r="E10" s="11">
        <f t="shared" ref="E10:E14" si="3">+D10*100/$D$15</f>
        <v>3.4991217204481678E-4</v>
      </c>
      <c r="G10" s="9" t="s">
        <v>5</v>
      </c>
      <c r="H10" s="14">
        <f t="shared" si="0"/>
        <v>32.263379999999998</v>
      </c>
      <c r="J10" s="9" t="s">
        <v>5</v>
      </c>
      <c r="K10" s="14">
        <f t="shared" si="1"/>
        <v>434.66253</v>
      </c>
    </row>
    <row r="11" spans="1:17" x14ac:dyDescent="0.25">
      <c r="A11" t="s">
        <v>5</v>
      </c>
      <c r="B11" s="47">
        <f>2828.88/1000</f>
        <v>2.8288800000000003</v>
      </c>
      <c r="C11" s="17">
        <f>53041.12/1000</f>
        <v>53.041119999999999</v>
      </c>
      <c r="D11" s="4">
        <f t="shared" si="2"/>
        <v>55.87</v>
      </c>
      <c r="E11" s="11">
        <f t="shared" si="3"/>
        <v>39.099186104287824</v>
      </c>
      <c r="G11" s="9" t="s">
        <v>6</v>
      </c>
      <c r="H11" s="14">
        <f t="shared" si="0"/>
        <v>22.387</v>
      </c>
      <c r="J11" s="9" t="s">
        <v>6</v>
      </c>
      <c r="K11" s="14">
        <f t="shared" si="1"/>
        <v>103.70555999999999</v>
      </c>
      <c r="M11" s="7" t="s">
        <v>109</v>
      </c>
      <c r="O11" s="7">
        <v>2147.7600000000002</v>
      </c>
      <c r="P11" t="s">
        <v>110</v>
      </c>
    </row>
    <row r="12" spans="1:17" x14ac:dyDescent="0.25">
      <c r="A12" t="s">
        <v>6</v>
      </c>
      <c r="B12" s="47">
        <v>2.9129999999999998</v>
      </c>
      <c r="C12" s="17">
        <v>20.338999999999999</v>
      </c>
      <c r="D12" s="4">
        <f t="shared" si="2"/>
        <v>23.251999999999999</v>
      </c>
      <c r="E12" s="11">
        <f t="shared" si="3"/>
        <v>16.272315648772157</v>
      </c>
      <c r="G12" s="9" t="s">
        <v>7</v>
      </c>
      <c r="H12" s="14">
        <f t="shared" si="0"/>
        <v>10.123999999999999</v>
      </c>
      <c r="J12" s="9" t="s">
        <v>7</v>
      </c>
      <c r="K12" s="14">
        <f t="shared" si="1"/>
        <v>134.57083</v>
      </c>
    </row>
    <row r="13" spans="1:17" x14ac:dyDescent="0.25">
      <c r="A13" t="s">
        <v>7</v>
      </c>
      <c r="B13" s="47">
        <v>1.2889999999999999</v>
      </c>
      <c r="C13" s="17">
        <v>12.589</v>
      </c>
      <c r="D13" s="4">
        <f t="shared" si="2"/>
        <v>13.878</v>
      </c>
      <c r="E13" s="11">
        <f t="shared" si="3"/>
        <v>9.7121622472759341</v>
      </c>
      <c r="G13" s="97" t="s">
        <v>8</v>
      </c>
      <c r="H13" s="98">
        <f t="shared" si="0"/>
        <v>7.3794999999999993</v>
      </c>
      <c r="J13" s="97" t="s">
        <v>8</v>
      </c>
      <c r="K13" s="98">
        <f t="shared" si="1"/>
        <v>395.98910000000001</v>
      </c>
    </row>
    <row r="14" spans="1:17" ht="17.25" customHeight="1" x14ac:dyDescent="0.25">
      <c r="A14" t="s">
        <v>8</v>
      </c>
      <c r="B14" s="48">
        <v>1.1519999999999999</v>
      </c>
      <c r="C14" s="42">
        <v>28.949000000000002</v>
      </c>
      <c r="D14" s="70">
        <f t="shared" si="2"/>
        <v>30.101000000000003</v>
      </c>
      <c r="E14" s="53">
        <f t="shared" si="3"/>
        <v>21.065412581442061</v>
      </c>
    </row>
    <row r="15" spans="1:17" x14ac:dyDescent="0.25">
      <c r="A15" s="1" t="s">
        <v>9</v>
      </c>
      <c r="B15" s="83">
        <f>+SUM(B9:B13)</f>
        <v>9.1583799999999993</v>
      </c>
      <c r="C15" s="83">
        <f>+SUM(C9:C13)</f>
        <v>103.63361999999999</v>
      </c>
      <c r="D15" s="15">
        <f>+SUM(D9:D14)</f>
        <v>142.893</v>
      </c>
      <c r="E15" s="13">
        <f>+SUM(E9:E14)</f>
        <v>99.999999999999986</v>
      </c>
      <c r="J15" s="49" t="s">
        <v>64</v>
      </c>
    </row>
    <row r="16" spans="1:17" x14ac:dyDescent="0.25">
      <c r="A16" s="7"/>
      <c r="B16" s="12"/>
      <c r="C16" s="12"/>
      <c r="D16" s="12"/>
      <c r="E16" s="11"/>
      <c r="G16" s="33" t="s">
        <v>52</v>
      </c>
      <c r="H16" s="34">
        <f>+K13+H13</f>
        <v>403.36860000000001</v>
      </c>
      <c r="J16" s="49" t="s">
        <v>122</v>
      </c>
    </row>
    <row r="17" spans="1:13" ht="18.75" x14ac:dyDescent="0.3">
      <c r="A17" s="106" t="s">
        <v>11</v>
      </c>
      <c r="B17" s="106"/>
      <c r="C17" s="106"/>
      <c r="D17" s="106"/>
      <c r="E17" s="106"/>
      <c r="G17" s="33" t="s">
        <v>53</v>
      </c>
      <c r="H17" s="34">
        <f>4.9+6</f>
        <v>10.9</v>
      </c>
    </row>
    <row r="18" spans="1:13" ht="15.75" thickBot="1" x14ac:dyDescent="0.3">
      <c r="A18" s="1" t="s">
        <v>0</v>
      </c>
      <c r="B18" s="1" t="s">
        <v>1</v>
      </c>
      <c r="C18" s="2" t="s">
        <v>2</v>
      </c>
      <c r="D18" s="2" t="s">
        <v>15</v>
      </c>
      <c r="E18" s="2" t="s">
        <v>16</v>
      </c>
      <c r="G18" s="10" t="s">
        <v>54</v>
      </c>
      <c r="H18" s="16">
        <f>+H17+H16</f>
        <v>414.26859999999999</v>
      </c>
      <c r="J18" s="32" t="s">
        <v>47</v>
      </c>
      <c r="K18" s="32" t="s">
        <v>46</v>
      </c>
    </row>
    <row r="19" spans="1:13" x14ac:dyDescent="0.25">
      <c r="A19" s="7" t="s">
        <v>3</v>
      </c>
      <c r="B19" s="3" t="s">
        <v>35</v>
      </c>
      <c r="C19" s="4">
        <v>17.064</v>
      </c>
      <c r="D19" s="4">
        <f>SUM(B19:C19)</f>
        <v>17.064</v>
      </c>
      <c r="E19" s="11">
        <f>+D19*100/($D$25)</f>
        <v>14.610965073765511</v>
      </c>
      <c r="J19" s="24" t="s">
        <v>50</v>
      </c>
      <c r="K19" s="23">
        <f>+[1]CUADRO!$O$35</f>
        <v>22936.690000000002</v>
      </c>
    </row>
    <row r="20" spans="1:13" x14ac:dyDescent="0.25">
      <c r="A20" s="7" t="s">
        <v>4</v>
      </c>
      <c r="B20" s="3" t="s">
        <v>35</v>
      </c>
      <c r="C20" s="4">
        <f>0/1000</f>
        <v>0</v>
      </c>
      <c r="D20" s="4">
        <f t="shared" ref="D20:D24" si="4">SUM(B20:C20)</f>
        <v>0</v>
      </c>
      <c r="E20" s="11">
        <f t="shared" ref="E20:E24" si="5">+D20*100/($D$25)</f>
        <v>0</v>
      </c>
      <c r="F20" s="96"/>
      <c r="G20" s="10" t="s">
        <v>18</v>
      </c>
      <c r="H20" s="10" t="s">
        <v>30</v>
      </c>
      <c r="J20" s="24" t="s">
        <v>36</v>
      </c>
      <c r="K20" s="23">
        <f>+SUM(H21:H26)</f>
        <v>531.11400000000003</v>
      </c>
    </row>
    <row r="21" spans="1:13" x14ac:dyDescent="0.25">
      <c r="A21" s="7" t="s">
        <v>5</v>
      </c>
      <c r="B21" s="3" t="s">
        <v>35</v>
      </c>
      <c r="C21" s="4">
        <f>33146/1000</f>
        <v>33.146000000000001</v>
      </c>
      <c r="D21" s="4">
        <f t="shared" si="4"/>
        <v>33.146000000000001</v>
      </c>
      <c r="E21" s="11">
        <f t="shared" si="5"/>
        <v>28.38109753487058</v>
      </c>
      <c r="F21" s="95"/>
      <c r="G21" s="9" t="s">
        <v>19</v>
      </c>
      <c r="H21" s="87">
        <f t="shared" ref="H21:H28" si="6">+H37+H53</f>
        <v>77.789000000000001</v>
      </c>
      <c r="J21" s="24" t="s">
        <v>48</v>
      </c>
      <c r="K21" s="23">
        <f>+Q9</f>
        <v>4.0176400000000001</v>
      </c>
    </row>
    <row r="22" spans="1:13" x14ac:dyDescent="0.25">
      <c r="A22" s="7" t="s">
        <v>6</v>
      </c>
      <c r="B22" s="3" t="s">
        <v>35</v>
      </c>
      <c r="C22" s="4">
        <v>15.682</v>
      </c>
      <c r="D22" s="4">
        <f t="shared" si="4"/>
        <v>15.682</v>
      </c>
      <c r="E22" s="11">
        <f t="shared" si="5"/>
        <v>13.42763445187475</v>
      </c>
      <c r="G22" s="9" t="s">
        <v>20</v>
      </c>
      <c r="H22" s="87">
        <f t="shared" si="6"/>
        <v>85.419000000000011</v>
      </c>
      <c r="J22" s="24" t="s">
        <v>49</v>
      </c>
      <c r="K22" s="23">
        <f>430*(10*52)/1000</f>
        <v>223.6</v>
      </c>
    </row>
    <row r="23" spans="1:13" x14ac:dyDescent="0.25">
      <c r="A23" s="7" t="s">
        <v>7</v>
      </c>
      <c r="B23" s="3" t="s">
        <v>35</v>
      </c>
      <c r="C23" s="4">
        <v>15.256</v>
      </c>
      <c r="D23" s="4">
        <f t="shared" si="4"/>
        <v>15.256</v>
      </c>
      <c r="E23" s="11">
        <f t="shared" si="5"/>
        <v>13.062874072044456</v>
      </c>
      <c r="G23" s="9" t="s">
        <v>21</v>
      </c>
      <c r="H23" s="88">
        <f t="shared" si="6"/>
        <v>112.79199999999999</v>
      </c>
      <c r="J23" s="21" t="s">
        <v>55</v>
      </c>
      <c r="K23" s="22">
        <f>+((K20+K21+K22)*100)/(K20+K21+K19+K22)</f>
        <v>3.2020178898998481</v>
      </c>
    </row>
    <row r="24" spans="1:13" ht="15" customHeight="1" x14ac:dyDescent="0.25">
      <c r="A24" s="7" t="s">
        <v>8</v>
      </c>
      <c r="B24" s="46" t="s">
        <v>35</v>
      </c>
      <c r="C24" s="43">
        <f>35641/1000</f>
        <v>35.640999999999998</v>
      </c>
      <c r="D24" s="4">
        <f t="shared" si="4"/>
        <v>35.640999999999998</v>
      </c>
      <c r="E24" s="53">
        <f t="shared" si="5"/>
        <v>30.517428867444711</v>
      </c>
      <c r="G24" s="9" t="s">
        <v>22</v>
      </c>
      <c r="H24" s="88">
        <f t="shared" si="6"/>
        <v>81.147999999999996</v>
      </c>
    </row>
    <row r="25" spans="1:13" ht="15.75" thickBot="1" x14ac:dyDescent="0.3">
      <c r="A25" s="1" t="s">
        <v>9</v>
      </c>
      <c r="B25" s="5">
        <f>+SUM(B19:B23)</f>
        <v>0</v>
      </c>
      <c r="C25" s="15">
        <f>+SUM(C19:C23)</f>
        <v>81.147999999999996</v>
      </c>
      <c r="D25" s="15">
        <f>+SUM(D19:D24)</f>
        <v>116.78899999999999</v>
      </c>
      <c r="E25" s="13">
        <f>+SUM(E19:E24)</f>
        <v>100</v>
      </c>
      <c r="G25" s="9" t="s">
        <v>12</v>
      </c>
      <c r="H25" s="88">
        <f t="shared" si="6"/>
        <v>87.009000000000015</v>
      </c>
      <c r="J25" s="32" t="s">
        <v>47</v>
      </c>
      <c r="K25" s="32" t="s">
        <v>46</v>
      </c>
    </row>
    <row r="26" spans="1:13" ht="63.75" customHeight="1" x14ac:dyDescent="0.25">
      <c r="A26" s="7"/>
      <c r="C26" s="12"/>
      <c r="D26" s="12"/>
      <c r="E26" s="11"/>
      <c r="G26" s="9" t="s">
        <v>23</v>
      </c>
      <c r="H26" s="88">
        <f t="shared" si="6"/>
        <v>86.956999999999994</v>
      </c>
      <c r="J26" s="24" t="s">
        <v>111</v>
      </c>
      <c r="K26" s="23">
        <f>+[1]CUADRO!$O$33+Hoja2!J23</f>
        <v>46572.887969999996</v>
      </c>
      <c r="L26" s="73"/>
    </row>
    <row r="27" spans="1:13" ht="18.75" x14ac:dyDescent="0.3">
      <c r="A27" s="106" t="s">
        <v>12</v>
      </c>
      <c r="B27" s="106"/>
      <c r="C27" s="106"/>
      <c r="D27" s="106"/>
      <c r="E27" s="106"/>
      <c r="G27" s="9" t="s">
        <v>24</v>
      </c>
      <c r="H27" s="88">
        <f t="shared" si="6"/>
        <v>80.913165000000006</v>
      </c>
      <c r="J27" s="24" t="s">
        <v>112</v>
      </c>
      <c r="K27" s="23">
        <f>+H33</f>
        <v>1081.8096250000001</v>
      </c>
      <c r="L27" s="73"/>
      <c r="M27" s="73"/>
    </row>
    <row r="28" spans="1:13" x14ac:dyDescent="0.25">
      <c r="A28" s="1" t="s">
        <v>0</v>
      </c>
      <c r="B28" s="1" t="s">
        <v>1</v>
      </c>
      <c r="C28" s="2" t="s">
        <v>2</v>
      </c>
      <c r="D28" s="2" t="s">
        <v>15</v>
      </c>
      <c r="E28" s="2" t="s">
        <v>16</v>
      </c>
      <c r="G28" s="9" t="s">
        <v>25</v>
      </c>
      <c r="H28" s="88">
        <f t="shared" si="6"/>
        <v>86.645799999999994</v>
      </c>
      <c r="J28" s="24" t="s">
        <v>113</v>
      </c>
      <c r="K28" s="23">
        <f>+Q9</f>
        <v>4.0176400000000001</v>
      </c>
    </row>
    <row r="29" spans="1:13" ht="15" customHeight="1" x14ac:dyDescent="0.25">
      <c r="A29" s="7" t="s">
        <v>3</v>
      </c>
      <c r="B29" s="47">
        <f>1498.5/1000</f>
        <v>1.4984999999999999</v>
      </c>
      <c r="C29" s="4">
        <f>18071.5/1000</f>
        <v>18.0715</v>
      </c>
      <c r="D29" s="4">
        <f>(B29+C29)</f>
        <v>19.57</v>
      </c>
      <c r="E29" s="11">
        <f>+D29/$D$35*100</f>
        <v>15.654371945317685</v>
      </c>
      <c r="F29" s="3"/>
      <c r="G29" s="9" t="s">
        <v>26</v>
      </c>
      <c r="H29" s="88">
        <f>+H45+H61</f>
        <v>80.778999999999996</v>
      </c>
      <c r="J29" s="24" t="s">
        <v>114</v>
      </c>
      <c r="K29" s="23">
        <f>496*(10*53)/1000</f>
        <v>262.88</v>
      </c>
    </row>
    <row r="30" spans="1:13" x14ac:dyDescent="0.25">
      <c r="A30" s="7" t="s">
        <v>4</v>
      </c>
      <c r="B30" s="47">
        <f>0/1000</f>
        <v>0</v>
      </c>
      <c r="C30" s="4">
        <f>0/1000</f>
        <v>0</v>
      </c>
      <c r="D30" s="4">
        <f t="shared" ref="D30:D34" si="7">(B30+C30)</f>
        <v>0</v>
      </c>
      <c r="E30" s="11">
        <f t="shared" ref="E30:E34" si="8">+D30/$D$35*100</f>
        <v>0</v>
      </c>
      <c r="F30" s="3"/>
      <c r="G30" s="9" t="s">
        <v>27</v>
      </c>
      <c r="H30" s="88">
        <f>+H46+H62</f>
        <v>104.01062999999999</v>
      </c>
      <c r="J30" s="24" t="s">
        <v>115</v>
      </c>
      <c r="K30" s="23">
        <f>(8*(35*52))/1000</f>
        <v>14.56</v>
      </c>
    </row>
    <row r="31" spans="1:13" x14ac:dyDescent="0.25">
      <c r="A31" s="7" t="s">
        <v>5</v>
      </c>
      <c r="B31" s="47">
        <f>3442.5/1000</f>
        <v>3.4424999999999999</v>
      </c>
      <c r="C31" s="4">
        <f>35817.5/1000</f>
        <v>35.817500000000003</v>
      </c>
      <c r="D31" s="4">
        <f t="shared" si="7"/>
        <v>39.260000000000005</v>
      </c>
      <c r="E31" s="11">
        <f t="shared" si="8"/>
        <v>31.404733907673606</v>
      </c>
      <c r="F31" s="4"/>
      <c r="G31" s="9" t="s">
        <v>28</v>
      </c>
      <c r="H31" s="88">
        <f>+H47+H63</f>
        <v>85.640680000000003</v>
      </c>
      <c r="J31" s="21" t="s">
        <v>118</v>
      </c>
      <c r="K31" s="22">
        <f>+((K27+K28+K29+K30)*100)/(K27+K28+K26+K29+K30)</f>
        <v>2.8439228351059476</v>
      </c>
    </row>
    <row r="32" spans="1:13" ht="15" customHeight="1" x14ac:dyDescent="0.25">
      <c r="A32" s="7" t="s">
        <v>6</v>
      </c>
      <c r="B32" s="47">
        <v>1.5820000000000001</v>
      </c>
      <c r="C32" s="4">
        <v>11.234</v>
      </c>
      <c r="D32" s="4">
        <f t="shared" si="7"/>
        <v>12.816000000000001</v>
      </c>
      <c r="E32" s="11">
        <f t="shared" si="8"/>
        <v>10.251733819682753</v>
      </c>
      <c r="G32" s="9" t="s">
        <v>29</v>
      </c>
      <c r="H32" s="88">
        <f>+H48+H64</f>
        <v>112.70635</v>
      </c>
    </row>
    <row r="33" spans="1:17" x14ac:dyDescent="0.25">
      <c r="A33" s="7" t="s">
        <v>7</v>
      </c>
      <c r="B33" s="47">
        <v>1.1919999999999999</v>
      </c>
      <c r="C33" s="4">
        <v>14.170999999999999</v>
      </c>
      <c r="D33" s="4">
        <f t="shared" si="7"/>
        <v>15.363</v>
      </c>
      <c r="E33" s="11">
        <f t="shared" si="8"/>
        <v>12.289121931319141</v>
      </c>
      <c r="F33" s="73"/>
      <c r="G33" s="10" t="s">
        <v>17</v>
      </c>
      <c r="H33" s="86">
        <f>+SUM(H21:H32)</f>
        <v>1081.8096250000001</v>
      </c>
    </row>
    <row r="34" spans="1:17" x14ac:dyDescent="0.25">
      <c r="A34" s="7" t="s">
        <v>8</v>
      </c>
      <c r="B34" s="48">
        <f>506.5/1000</f>
        <v>0.50649999999999995</v>
      </c>
      <c r="C34" s="43">
        <f>37497.5/1000</f>
        <v>37.497500000000002</v>
      </c>
      <c r="D34" s="70">
        <f t="shared" si="7"/>
        <v>38.004000000000005</v>
      </c>
      <c r="E34" s="53">
        <f t="shared" si="8"/>
        <v>30.400038396006817</v>
      </c>
      <c r="J34" s="117" t="s">
        <v>37</v>
      </c>
      <c r="K34" s="118"/>
      <c r="L34" s="118"/>
      <c r="M34" s="118"/>
      <c r="N34" s="118"/>
      <c r="O34" s="118"/>
      <c r="P34" s="118"/>
      <c r="Q34" s="119"/>
    </row>
    <row r="35" spans="1:17" x14ac:dyDescent="0.25">
      <c r="A35" s="1" t="s">
        <v>9</v>
      </c>
      <c r="B35" s="15">
        <f>+SUM(B29:B33)</f>
        <v>7.7149999999999999</v>
      </c>
      <c r="C35" s="15">
        <f>+SUM(C29:C33)</f>
        <v>79.294000000000011</v>
      </c>
      <c r="D35" s="15">
        <f>+SUM(D29:D34)</f>
        <v>125.01300000000001</v>
      </c>
      <c r="E35" s="13">
        <f>+SUM(E29:E34)</f>
        <v>100.00000000000001</v>
      </c>
    </row>
    <row r="36" spans="1:17" x14ac:dyDescent="0.25">
      <c r="E36"/>
      <c r="F36" s="99"/>
      <c r="G36" s="10" t="s">
        <v>13</v>
      </c>
      <c r="H36" s="76" t="s">
        <v>17</v>
      </c>
    </row>
    <row r="37" spans="1:17" ht="18.75" x14ac:dyDescent="0.3">
      <c r="A37" s="106" t="s">
        <v>23</v>
      </c>
      <c r="B37" s="106"/>
      <c r="C37" s="106"/>
      <c r="D37" s="106"/>
      <c r="E37" s="106"/>
      <c r="F37" s="99"/>
      <c r="G37" s="41" t="s">
        <v>19</v>
      </c>
      <c r="H37" s="84">
        <v>15.579000000000001</v>
      </c>
      <c r="J37" s="108" t="s">
        <v>116</v>
      </c>
      <c r="K37" s="108"/>
      <c r="L37" s="108"/>
      <c r="M37" s="108"/>
      <c r="N37" s="108"/>
      <c r="O37" s="22">
        <f>+Hoja2!K23</f>
        <v>27.690210510464546</v>
      </c>
    </row>
    <row r="38" spans="1:17" x14ac:dyDescent="0.25">
      <c r="A38" s="1" t="s">
        <v>0</v>
      </c>
      <c r="B38" s="1" t="s">
        <v>31</v>
      </c>
      <c r="C38" s="2" t="s">
        <v>32</v>
      </c>
      <c r="D38" s="2" t="s">
        <v>33</v>
      </c>
      <c r="E38" s="2" t="s">
        <v>16</v>
      </c>
      <c r="F38" s="99"/>
      <c r="G38" s="41" t="s">
        <v>20</v>
      </c>
      <c r="H38" s="84">
        <v>15.579000000000001</v>
      </c>
    </row>
    <row r="39" spans="1:17" x14ac:dyDescent="0.25">
      <c r="A39" s="7" t="s">
        <v>34</v>
      </c>
      <c r="B39" s="19">
        <v>0.81699999999999995</v>
      </c>
      <c r="C39" s="18">
        <v>16.045999999999999</v>
      </c>
      <c r="D39" s="17">
        <f t="shared" ref="D39:D44" si="9">SUM(B39:C39)</f>
        <v>16.863</v>
      </c>
      <c r="E39" s="11">
        <f>+D39*100/($D$45+$D$44)</f>
        <v>13.048019932218079</v>
      </c>
      <c r="G39" s="41" t="s">
        <v>21</v>
      </c>
      <c r="H39" s="85">
        <f>+B15</f>
        <v>9.1583799999999993</v>
      </c>
    </row>
    <row r="40" spans="1:17" x14ac:dyDescent="0.25">
      <c r="A40" s="7" t="s">
        <v>4</v>
      </c>
      <c r="B40" s="20">
        <v>3.0000000000000001E-3</v>
      </c>
      <c r="C40" s="18">
        <v>0</v>
      </c>
      <c r="D40" s="17">
        <f t="shared" si="9"/>
        <v>3.0000000000000001E-3</v>
      </c>
      <c r="E40" s="11">
        <f t="shared" ref="E40:E44" si="10">+D40*100/($D$45+$D$44)</f>
        <v>2.3212986892400069E-3</v>
      </c>
      <c r="F40" s="99"/>
      <c r="G40" s="41" t="s">
        <v>22</v>
      </c>
      <c r="H40" s="85">
        <f>+B25</f>
        <v>0</v>
      </c>
      <c r="J40" s="100" t="s">
        <v>51</v>
      </c>
      <c r="K40" s="101"/>
      <c r="L40" s="101"/>
      <c r="M40" s="101"/>
      <c r="N40" s="101"/>
      <c r="O40" s="101"/>
      <c r="P40" s="101"/>
      <c r="Q40" s="102"/>
    </row>
    <row r="41" spans="1:17" x14ac:dyDescent="0.25">
      <c r="A41" s="7" t="s">
        <v>5</v>
      </c>
      <c r="B41" s="19">
        <v>2.335</v>
      </c>
      <c r="C41" s="18">
        <v>43.817</v>
      </c>
      <c r="D41" s="17">
        <f t="shared" si="9"/>
        <v>46.152000000000001</v>
      </c>
      <c r="E41" s="11">
        <f t="shared" si="10"/>
        <v>35.710859035268264</v>
      </c>
      <c r="G41" s="41" t="s">
        <v>58</v>
      </c>
      <c r="H41" s="85">
        <f>+B35</f>
        <v>7.7149999999999999</v>
      </c>
      <c r="J41" s="103"/>
      <c r="K41" s="104"/>
      <c r="L41" s="104"/>
      <c r="M41" s="104"/>
      <c r="N41" s="104"/>
      <c r="O41" s="104"/>
      <c r="P41" s="104"/>
      <c r="Q41" s="105"/>
    </row>
    <row r="42" spans="1:17" x14ac:dyDescent="0.25">
      <c r="A42" s="7" t="s">
        <v>6</v>
      </c>
      <c r="B42" s="19">
        <v>1.3140000000000001</v>
      </c>
      <c r="C42" s="18">
        <v>8.7959999999999994</v>
      </c>
      <c r="D42" s="17">
        <f t="shared" si="9"/>
        <v>10.11</v>
      </c>
      <c r="E42" s="11">
        <f t="shared" si="10"/>
        <v>7.8227765827388227</v>
      </c>
      <c r="G42" s="41" t="s">
        <v>59</v>
      </c>
      <c r="H42" s="85">
        <f>+B45</f>
        <v>5.1079999999999997</v>
      </c>
    </row>
    <row r="43" spans="1:17" x14ac:dyDescent="0.25">
      <c r="A43" s="7" t="s">
        <v>7</v>
      </c>
      <c r="B43" s="19">
        <v>0.63900000000000001</v>
      </c>
      <c r="C43" s="18">
        <v>13.19</v>
      </c>
      <c r="D43" s="17">
        <f t="shared" si="9"/>
        <v>13.828999999999999</v>
      </c>
      <c r="E43" s="11">
        <f t="shared" si="10"/>
        <v>10.700413191166684</v>
      </c>
      <c r="G43" s="41" t="s">
        <v>60</v>
      </c>
      <c r="H43" s="85">
        <f>+B55</f>
        <v>8.1086749999999999</v>
      </c>
    </row>
    <row r="44" spans="1:17" x14ac:dyDescent="0.25">
      <c r="A44" s="7" t="s">
        <v>8</v>
      </c>
      <c r="B44" s="44">
        <v>0.61799999999999999</v>
      </c>
      <c r="C44" s="45">
        <v>41.662999999999997</v>
      </c>
      <c r="D44" s="42">
        <f t="shared" si="9"/>
        <v>42.280999999999999</v>
      </c>
      <c r="E44" s="53">
        <f t="shared" si="10"/>
        <v>32.715609959918908</v>
      </c>
      <c r="G44" s="41" t="s">
        <v>25</v>
      </c>
      <c r="H44" s="17">
        <f>+B65</f>
        <v>9.3630000000000013</v>
      </c>
    </row>
    <row r="45" spans="1:17" x14ac:dyDescent="0.25">
      <c r="A45" s="1" t="s">
        <v>9</v>
      </c>
      <c r="B45" s="15">
        <f>+SUM(B39:B43)</f>
        <v>5.1079999999999997</v>
      </c>
      <c r="C45" s="15">
        <f>+SUM(C39:C43)</f>
        <v>81.84899999999999</v>
      </c>
      <c r="D45" s="15">
        <f>+SUM(D39:D43)</f>
        <v>86.956999999999994</v>
      </c>
      <c r="E45" s="13">
        <f>+SUM(E39:E44)</f>
        <v>100</v>
      </c>
      <c r="G45" s="41" t="s">
        <v>26</v>
      </c>
      <c r="H45" s="17">
        <f>+B75</f>
        <v>3.2550000000000003</v>
      </c>
      <c r="J45" s="77" t="s">
        <v>65</v>
      </c>
      <c r="K45" s="77"/>
      <c r="L45" s="77"/>
    </row>
    <row r="46" spans="1:17" x14ac:dyDescent="0.25">
      <c r="A46" s="38"/>
      <c r="B46" s="39"/>
      <c r="C46" s="39"/>
      <c r="D46" s="39"/>
      <c r="E46" s="40"/>
      <c r="G46" s="41" t="s">
        <v>27</v>
      </c>
      <c r="H46" s="17">
        <f>+B85</f>
        <v>12.586400000000001</v>
      </c>
      <c r="J46" s="77"/>
      <c r="K46" s="77"/>
      <c r="L46" s="77"/>
    </row>
    <row r="47" spans="1:17" ht="36" x14ac:dyDescent="0.25">
      <c r="A47" s="35"/>
      <c r="B47" s="37" t="s">
        <v>57</v>
      </c>
      <c r="C47" s="35"/>
      <c r="D47" s="35"/>
      <c r="E47" s="36"/>
      <c r="G47" s="41" t="s">
        <v>28</v>
      </c>
      <c r="H47" s="17">
        <f>+B95</f>
        <v>9.1649999999999991</v>
      </c>
      <c r="J47" s="50"/>
      <c r="K47" s="50" t="s">
        <v>66</v>
      </c>
      <c r="L47" s="50" t="s">
        <v>67</v>
      </c>
    </row>
    <row r="48" spans="1:17" ht="15.75" x14ac:dyDescent="0.25">
      <c r="A48" s="1" t="s">
        <v>0</v>
      </c>
      <c r="B48" s="1" t="s">
        <v>1</v>
      </c>
      <c r="C48" s="2" t="s">
        <v>2</v>
      </c>
      <c r="D48" s="2" t="s">
        <v>56</v>
      </c>
      <c r="E48" s="2" t="s">
        <v>16</v>
      </c>
      <c r="G48" s="41" t="s">
        <v>29</v>
      </c>
      <c r="H48" s="17">
        <f>+B105</f>
        <v>12.112099999999998</v>
      </c>
      <c r="J48" s="50" t="s">
        <v>68</v>
      </c>
      <c r="K48" s="51">
        <f>+Hoja2!J22</f>
        <v>1081.8130000000001</v>
      </c>
      <c r="L48" s="51">
        <f>+Hoja2!J23</f>
        <v>414.26796999999993</v>
      </c>
    </row>
    <row r="49" spans="1:12" ht="15.75" x14ac:dyDescent="0.25">
      <c r="A49" s="7" t="s">
        <v>3</v>
      </c>
      <c r="B49" s="47">
        <f>1.675/1000</f>
        <v>1.6750000000000001E-3</v>
      </c>
      <c r="C49" s="17">
        <v>16.27</v>
      </c>
      <c r="D49" s="17">
        <f>SUM(B49:C49)</f>
        <v>16.271674999999998</v>
      </c>
      <c r="E49" s="11">
        <f>+D49*100/($D$55)</f>
        <v>13.773362629400307</v>
      </c>
      <c r="G49" s="10" t="s">
        <v>17</v>
      </c>
      <c r="H49" s="86">
        <f>+SUM(H37:H48)</f>
        <v>107.72955499999998</v>
      </c>
      <c r="J49" s="52" t="s">
        <v>69</v>
      </c>
      <c r="K49" s="79">
        <f>+K48*100/(K48+L48)</f>
        <v>72.309789489535461</v>
      </c>
      <c r="L49" s="79">
        <f>+L48*100/(K48+L48)</f>
        <v>27.690210510464546</v>
      </c>
    </row>
    <row r="50" spans="1:12" x14ac:dyDescent="0.25">
      <c r="A50" s="7" t="s">
        <v>4</v>
      </c>
      <c r="B50" s="47">
        <v>3.5000000000000001E-3</v>
      </c>
      <c r="C50" s="17">
        <f>0/1000</f>
        <v>0</v>
      </c>
      <c r="D50" s="92">
        <f t="shared" ref="D50:D54" si="11">SUM(B50:C50)</f>
        <v>3.5000000000000001E-3</v>
      </c>
      <c r="E50" s="11">
        <f t="shared" ref="E50:E54" si="12">+D50*100/($D$55)</f>
        <v>2.9626187348813864E-3</v>
      </c>
    </row>
    <row r="51" spans="1:12" x14ac:dyDescent="0.25">
      <c r="A51" s="7" t="s">
        <v>5</v>
      </c>
      <c r="B51" s="47">
        <f>4680.5/1000</f>
        <v>4.6805000000000003</v>
      </c>
      <c r="C51" s="17">
        <f>35900/1000</f>
        <v>35.9</v>
      </c>
      <c r="D51" s="17">
        <f t="shared" si="11"/>
        <v>40.580500000000001</v>
      </c>
      <c r="E51" s="11">
        <f t="shared" si="12"/>
        <v>34.34987130595831</v>
      </c>
    </row>
    <row r="52" spans="1:12" x14ac:dyDescent="0.25">
      <c r="A52" s="7" t="s">
        <v>6</v>
      </c>
      <c r="B52" s="47">
        <f>2253.5/1000</f>
        <v>2.2534999999999998</v>
      </c>
      <c r="C52" s="17">
        <f>8273.13/1000</f>
        <v>8.2731299999999983</v>
      </c>
      <c r="D52" s="17">
        <f t="shared" si="11"/>
        <v>10.526629999999997</v>
      </c>
      <c r="E52" s="11">
        <f t="shared" si="12"/>
        <v>8.910397500904125</v>
      </c>
      <c r="G52" s="10" t="s">
        <v>62</v>
      </c>
      <c r="H52" s="10" t="s">
        <v>17</v>
      </c>
    </row>
    <row r="53" spans="1:12" x14ac:dyDescent="0.25">
      <c r="A53" s="7" t="s">
        <v>7</v>
      </c>
      <c r="B53" s="47">
        <f>1169.5/1000</f>
        <v>1.1695</v>
      </c>
      <c r="C53" s="17">
        <f>12361.36/1000</f>
        <v>12.361360000000001</v>
      </c>
      <c r="D53" s="17">
        <f t="shared" si="11"/>
        <v>13.530860000000001</v>
      </c>
      <c r="E53" s="11">
        <f t="shared" si="12"/>
        <v>11.453365524302043</v>
      </c>
      <c r="F53" s="73"/>
      <c r="G53" s="41" t="s">
        <v>19</v>
      </c>
      <c r="H53" s="84">
        <v>62.21</v>
      </c>
    </row>
    <row r="54" spans="1:12" x14ac:dyDescent="0.25">
      <c r="A54" s="7" t="s">
        <v>8</v>
      </c>
      <c r="B54" s="48">
        <f>1010.5/1000</f>
        <v>1.0105</v>
      </c>
      <c r="C54" s="42">
        <f>36215.06/1000</f>
        <v>36.215060000000001</v>
      </c>
      <c r="D54" s="72">
        <f t="shared" si="11"/>
        <v>37.225560000000002</v>
      </c>
      <c r="E54" s="53">
        <f t="shared" si="12"/>
        <v>31.510040420700324</v>
      </c>
      <c r="G54" s="41" t="s">
        <v>20</v>
      </c>
      <c r="H54" s="84">
        <v>69.84</v>
      </c>
    </row>
    <row r="55" spans="1:12" x14ac:dyDescent="0.25">
      <c r="A55" s="1" t="s">
        <v>9</v>
      </c>
      <c r="B55" s="83">
        <f>SUM(B49:B53)</f>
        <v>8.1086749999999999</v>
      </c>
      <c r="C55" s="83">
        <f>SUM(C49:C53)</f>
        <v>72.804490000000001</v>
      </c>
      <c r="D55" s="83">
        <f>+SUM(D49:D54)</f>
        <v>118.13872500000001</v>
      </c>
      <c r="E55" s="13">
        <f>+SUM(E49:E54)</f>
        <v>99.999999999999986</v>
      </c>
      <c r="G55" s="41" t="s">
        <v>21</v>
      </c>
      <c r="H55" s="85">
        <f>+C15</f>
        <v>103.63361999999999</v>
      </c>
    </row>
    <row r="56" spans="1:12" x14ac:dyDescent="0.25">
      <c r="A56" s="38"/>
      <c r="B56" s="38"/>
      <c r="C56" s="38"/>
      <c r="D56" s="38"/>
      <c r="G56" s="41" t="s">
        <v>22</v>
      </c>
      <c r="H56" s="85">
        <f>+C25</f>
        <v>81.147999999999996</v>
      </c>
    </row>
    <row r="57" spans="1:12" x14ac:dyDescent="0.25">
      <c r="A57" s="35"/>
      <c r="B57" s="37" t="s">
        <v>61</v>
      </c>
      <c r="C57" s="35"/>
      <c r="D57" s="35"/>
      <c r="E57" s="36"/>
      <c r="G57" s="41" t="s">
        <v>58</v>
      </c>
      <c r="H57" s="85">
        <f>+C35</f>
        <v>79.294000000000011</v>
      </c>
    </row>
    <row r="58" spans="1:12" x14ac:dyDescent="0.25">
      <c r="A58" s="1" t="s">
        <v>0</v>
      </c>
      <c r="B58" s="1" t="s">
        <v>1</v>
      </c>
      <c r="C58" s="2" t="s">
        <v>2</v>
      </c>
      <c r="D58" s="2" t="s">
        <v>56</v>
      </c>
      <c r="E58" s="2" t="s">
        <v>16</v>
      </c>
      <c r="G58" s="41" t="s">
        <v>59</v>
      </c>
      <c r="H58" s="85">
        <f>+C45</f>
        <v>81.84899999999999</v>
      </c>
    </row>
    <row r="59" spans="1:12" x14ac:dyDescent="0.25">
      <c r="A59" s="7" t="s">
        <v>3</v>
      </c>
      <c r="B59" s="6">
        <v>1.5720000000000001</v>
      </c>
      <c r="C59" s="4">
        <f>15263.17/1000</f>
        <v>15.263170000000001</v>
      </c>
      <c r="D59" s="17">
        <f>SUM(B59:C59)</f>
        <v>16.835170000000002</v>
      </c>
      <c r="E59" s="11">
        <f>+D59*100/($D$45+$D$44)</f>
        <v>13.026486018044229</v>
      </c>
      <c r="G59" s="41" t="s">
        <v>60</v>
      </c>
      <c r="H59" s="85">
        <f>+C55</f>
        <v>72.804490000000001</v>
      </c>
    </row>
    <row r="60" spans="1:12" x14ac:dyDescent="0.25">
      <c r="A60" s="7" t="s">
        <v>4</v>
      </c>
      <c r="B60" s="6">
        <f>35.5/1000</f>
        <v>3.5499999999999997E-2</v>
      </c>
      <c r="C60" s="4">
        <f>0/1000</f>
        <v>0</v>
      </c>
      <c r="D60" s="17">
        <f t="shared" ref="D60:D64" si="13">SUM(B60:C60)</f>
        <v>3.5499999999999997E-2</v>
      </c>
      <c r="E60" s="11">
        <f t="shared" ref="E60:E64" si="14">+D60*100/($D$45+$D$44)</f>
        <v>2.7468701156006747E-2</v>
      </c>
      <c r="G60" s="41" t="s">
        <v>25</v>
      </c>
      <c r="H60" s="17">
        <f>+C65</f>
        <v>77.282799999999995</v>
      </c>
    </row>
    <row r="61" spans="1:12" x14ac:dyDescent="0.25">
      <c r="A61" s="7" t="s">
        <v>5</v>
      </c>
      <c r="B61" s="6">
        <v>3.4590000000000001</v>
      </c>
      <c r="C61" s="4">
        <f>41106.14/1000</f>
        <v>41.106139999999996</v>
      </c>
      <c r="D61" s="17">
        <f t="shared" si="13"/>
        <v>44.56514</v>
      </c>
      <c r="E61" s="11">
        <f t="shared" si="14"/>
        <v>34.483000355932468</v>
      </c>
      <c r="G61" s="41" t="s">
        <v>26</v>
      </c>
      <c r="H61" s="17">
        <f>+C75</f>
        <v>77.524000000000001</v>
      </c>
    </row>
    <row r="62" spans="1:12" x14ac:dyDescent="0.25">
      <c r="A62" s="7" t="s">
        <v>6</v>
      </c>
      <c r="B62" s="6">
        <f>3089.5/1000</f>
        <v>3.0895000000000001</v>
      </c>
      <c r="C62" s="4">
        <f>7423.73/1000</f>
        <v>7.4237299999999999</v>
      </c>
      <c r="D62" s="17">
        <f t="shared" si="13"/>
        <v>10.51323</v>
      </c>
      <c r="E62" s="11">
        <f t="shared" si="14"/>
        <v>8.1347823395595729</v>
      </c>
      <c r="G62" s="41" t="s">
        <v>27</v>
      </c>
      <c r="H62" s="17">
        <f>+C85</f>
        <v>91.424229999999994</v>
      </c>
    </row>
    <row r="63" spans="1:12" x14ac:dyDescent="0.25">
      <c r="A63" s="7" t="s">
        <v>7</v>
      </c>
      <c r="B63" s="6">
        <v>1.2070000000000001</v>
      </c>
      <c r="C63" s="4">
        <f>13489.76/1000</f>
        <v>13.48976</v>
      </c>
      <c r="D63" s="17">
        <f t="shared" si="13"/>
        <v>14.696760000000001</v>
      </c>
      <c r="E63" s="11">
        <f t="shared" si="14"/>
        <v>11.371856574691655</v>
      </c>
      <c r="G63" s="41" t="s">
        <v>28</v>
      </c>
      <c r="H63" s="17">
        <f>+C95</f>
        <v>76.475680000000011</v>
      </c>
    </row>
    <row r="64" spans="1:12" x14ac:dyDescent="0.25">
      <c r="A64" s="7" t="s">
        <v>8</v>
      </c>
      <c r="B64" s="71">
        <v>0.90200000000000002</v>
      </c>
      <c r="C64" s="43">
        <f>41911.7/1000</f>
        <v>41.911699999999996</v>
      </c>
      <c r="D64" s="17">
        <f t="shared" si="13"/>
        <v>42.813699999999997</v>
      </c>
      <c r="E64" s="53">
        <f t="shared" si="14"/>
        <v>33.127795230504958</v>
      </c>
      <c r="G64" s="41" t="s">
        <v>29</v>
      </c>
      <c r="H64" s="17">
        <f>+C105</f>
        <v>100.59425</v>
      </c>
    </row>
    <row r="65" spans="1:8" x14ac:dyDescent="0.25">
      <c r="A65" s="1" t="s">
        <v>9</v>
      </c>
      <c r="B65" s="15">
        <f>SUM(B59:B63)</f>
        <v>9.3630000000000013</v>
      </c>
      <c r="C65" s="15">
        <f>SUM(C59:C63)</f>
        <v>77.282799999999995</v>
      </c>
      <c r="D65" s="15">
        <f>+SUM(D59:D64)</f>
        <v>129.45949999999999</v>
      </c>
      <c r="E65" s="13">
        <f>+SUM(E59:E64)</f>
        <v>100.17138921988889</v>
      </c>
      <c r="G65" s="10" t="s">
        <v>17</v>
      </c>
      <c r="H65" s="86">
        <f>+SUM(H53:H64)</f>
        <v>974.08006999999998</v>
      </c>
    </row>
    <row r="67" spans="1:8" x14ac:dyDescent="0.25">
      <c r="A67" s="35"/>
      <c r="B67" s="37" t="s">
        <v>63</v>
      </c>
      <c r="C67" s="35"/>
      <c r="D67" s="35"/>
      <c r="E67" s="36"/>
    </row>
    <row r="68" spans="1:8" x14ac:dyDescent="0.25">
      <c r="A68" s="1" t="s">
        <v>0</v>
      </c>
      <c r="B68" s="1" t="s">
        <v>1</v>
      </c>
      <c r="C68" s="2" t="s">
        <v>2</v>
      </c>
      <c r="D68" s="2" t="s">
        <v>56</v>
      </c>
      <c r="E68" s="2" t="s">
        <v>16</v>
      </c>
    </row>
    <row r="69" spans="1:8" x14ac:dyDescent="0.25">
      <c r="A69" s="7" t="s">
        <v>3</v>
      </c>
      <c r="B69" s="47">
        <v>0.32400000000000001</v>
      </c>
      <c r="C69" s="17">
        <v>15.228999999999999</v>
      </c>
      <c r="D69" s="17">
        <f t="shared" ref="D69:D74" si="15">SUM(B69:C69)</f>
        <v>15.552999999999999</v>
      </c>
      <c r="E69" s="11">
        <f>+D69/$D$75*100</f>
        <v>12.570315530841846</v>
      </c>
      <c r="G69" s="73"/>
    </row>
    <row r="70" spans="1:8" x14ac:dyDescent="0.25">
      <c r="A70" s="7" t="s">
        <v>4</v>
      </c>
      <c r="B70" s="47">
        <f>0/1000</f>
        <v>0</v>
      </c>
      <c r="C70" s="17">
        <v>0</v>
      </c>
      <c r="D70" s="17">
        <f t="shared" si="15"/>
        <v>0</v>
      </c>
      <c r="E70" s="11">
        <f t="shared" ref="E70:E74" si="16">+D70/$D$75*100</f>
        <v>0</v>
      </c>
    </row>
    <row r="71" spans="1:8" x14ac:dyDescent="0.25">
      <c r="A71" s="7" t="s">
        <v>5</v>
      </c>
      <c r="B71" s="47">
        <v>1.4</v>
      </c>
      <c r="C71" s="17">
        <f>42473/1000</f>
        <v>42.472999999999999</v>
      </c>
      <c r="D71" s="17">
        <f t="shared" si="15"/>
        <v>43.872999999999998</v>
      </c>
      <c r="E71" s="11">
        <f t="shared" si="16"/>
        <v>35.459233156601577</v>
      </c>
    </row>
    <row r="72" spans="1:8" x14ac:dyDescent="0.25">
      <c r="A72" s="7" t="s">
        <v>6</v>
      </c>
      <c r="B72" s="47">
        <v>1.25</v>
      </c>
      <c r="C72" s="17">
        <v>7.0049999999999999</v>
      </c>
      <c r="D72" s="17">
        <f t="shared" si="15"/>
        <v>8.254999999999999</v>
      </c>
      <c r="E72" s="11">
        <f t="shared" si="16"/>
        <v>6.6718931850510792</v>
      </c>
    </row>
    <row r="73" spans="1:8" x14ac:dyDescent="0.25">
      <c r="A73" s="7" t="s">
        <v>7</v>
      </c>
      <c r="B73" s="47">
        <v>0.28100000000000003</v>
      </c>
      <c r="C73" s="17">
        <v>12.817</v>
      </c>
      <c r="D73" s="17">
        <f t="shared" si="15"/>
        <v>13.098000000000001</v>
      </c>
      <c r="E73" s="11">
        <f t="shared" si="16"/>
        <v>10.586124401913876</v>
      </c>
    </row>
    <row r="74" spans="1:8" x14ac:dyDescent="0.25">
      <c r="A74" s="7" t="s">
        <v>8</v>
      </c>
      <c r="B74" s="48">
        <v>0.69</v>
      </c>
      <c r="C74" s="42">
        <f>42259/1000</f>
        <v>42.259</v>
      </c>
      <c r="D74" s="42">
        <f t="shared" si="15"/>
        <v>42.948999999999998</v>
      </c>
      <c r="E74" s="53">
        <f t="shared" si="16"/>
        <v>34.712433725591616</v>
      </c>
    </row>
    <row r="75" spans="1:8" x14ac:dyDescent="0.25">
      <c r="A75" s="1" t="s">
        <v>9</v>
      </c>
      <c r="B75" s="15">
        <f>+SUM(B69:B73)</f>
        <v>3.2550000000000003</v>
      </c>
      <c r="C75" s="15">
        <f>SUM(C69:C73)</f>
        <v>77.524000000000001</v>
      </c>
      <c r="D75" s="15">
        <f>+SUM(D69:D74)</f>
        <v>123.72799999999999</v>
      </c>
      <c r="E75" s="15">
        <f>+SUM(E69:E74)</f>
        <v>100</v>
      </c>
      <c r="H75"/>
    </row>
    <row r="76" spans="1:8" x14ac:dyDescent="0.25">
      <c r="H76"/>
    </row>
    <row r="77" spans="1:8" x14ac:dyDescent="0.25">
      <c r="A77" s="35"/>
      <c r="B77" s="37" t="s">
        <v>70</v>
      </c>
      <c r="C77" s="35"/>
      <c r="D77" s="35"/>
      <c r="E77" s="36"/>
      <c r="H77"/>
    </row>
    <row r="78" spans="1:8" x14ac:dyDescent="0.25">
      <c r="A78" s="1" t="s">
        <v>0</v>
      </c>
      <c r="B78" s="1" t="s">
        <v>1</v>
      </c>
      <c r="C78" s="2" t="s">
        <v>2</v>
      </c>
      <c r="D78" s="2" t="s">
        <v>56</v>
      </c>
      <c r="E78" s="2" t="s">
        <v>16</v>
      </c>
      <c r="H78"/>
    </row>
    <row r="79" spans="1:8" x14ac:dyDescent="0.25">
      <c r="A79" s="7" t="s">
        <v>3</v>
      </c>
      <c r="B79" s="6">
        <f>1859.5/1000</f>
        <v>1.8594999999999999</v>
      </c>
      <c r="C79" s="4">
        <f>19399.25/1000</f>
        <v>19.399249999999999</v>
      </c>
      <c r="D79" s="17">
        <f t="shared" ref="D79:D84" si="17">SUM(B79:C79)</f>
        <v>21.258749999999999</v>
      </c>
      <c r="E79" s="11">
        <f>+D79/$D$85*100</f>
        <v>14.413160382414612</v>
      </c>
      <c r="H79"/>
    </row>
    <row r="80" spans="1:8" x14ac:dyDescent="0.25">
      <c r="A80" s="7" t="s">
        <v>4</v>
      </c>
      <c r="B80" s="6">
        <f>113.4/1000</f>
        <v>0.1134</v>
      </c>
      <c r="C80" s="4">
        <f>0/1000</f>
        <v>0</v>
      </c>
      <c r="D80" s="17">
        <f t="shared" si="17"/>
        <v>0.1134</v>
      </c>
      <c r="E80" s="11">
        <f t="shared" ref="E80:E84" si="18">+D80/$D$85*100</f>
        <v>7.6883748450206013E-2</v>
      </c>
      <c r="H80"/>
    </row>
    <row r="81" spans="1:8" x14ac:dyDescent="0.25">
      <c r="A81" s="7" t="s">
        <v>5</v>
      </c>
      <c r="B81" s="6">
        <v>4.9669999999999996</v>
      </c>
      <c r="C81" s="4">
        <f>48656.59/1000</f>
        <v>48.656589999999994</v>
      </c>
      <c r="D81" s="17">
        <f t="shared" si="17"/>
        <v>53.623589999999993</v>
      </c>
      <c r="E81" s="11">
        <f t="shared" si="18"/>
        <v>36.356107623959275</v>
      </c>
      <c r="H81"/>
    </row>
    <row r="82" spans="1:8" x14ac:dyDescent="0.25">
      <c r="A82" s="7" t="s">
        <v>6</v>
      </c>
      <c r="B82" s="6">
        <v>3.9119999999999999</v>
      </c>
      <c r="C82" s="4">
        <f>8323.52/1000</f>
        <v>8.3235200000000003</v>
      </c>
      <c r="D82" s="17">
        <f t="shared" si="17"/>
        <v>12.235520000000001</v>
      </c>
      <c r="E82" s="11">
        <f t="shared" si="18"/>
        <v>8.2955259421293182</v>
      </c>
      <c r="H82"/>
    </row>
    <row r="83" spans="1:8" x14ac:dyDescent="0.25">
      <c r="A83" s="7" t="s">
        <v>7</v>
      </c>
      <c r="B83" s="6">
        <f>1734.5/1000</f>
        <v>1.7344999999999999</v>
      </c>
      <c r="C83" s="4">
        <f>15044.87/1000</f>
        <v>15.044870000000001</v>
      </c>
      <c r="D83" s="17">
        <f t="shared" si="17"/>
        <v>16.77937</v>
      </c>
      <c r="E83" s="11">
        <f t="shared" si="18"/>
        <v>11.376198079655495</v>
      </c>
      <c r="H83"/>
    </row>
    <row r="84" spans="1:8" x14ac:dyDescent="0.25">
      <c r="A84" s="7" t="s">
        <v>8</v>
      </c>
      <c r="B84" s="75">
        <f>795.5/1000</f>
        <v>0.79549999999999998</v>
      </c>
      <c r="C84" s="70">
        <f>42689.28/1000</f>
        <v>42.689279999999997</v>
      </c>
      <c r="D84" s="42">
        <f t="shared" si="17"/>
        <v>43.484779999999994</v>
      </c>
      <c r="E84" s="53">
        <f t="shared" si="18"/>
        <v>29.482124223391082</v>
      </c>
      <c r="H84"/>
    </row>
    <row r="85" spans="1:8" x14ac:dyDescent="0.25">
      <c r="A85" s="1" t="s">
        <v>9</v>
      </c>
      <c r="B85" s="15">
        <f>+SUM(B79:B83)</f>
        <v>12.586400000000001</v>
      </c>
      <c r="C85" s="15">
        <f>+SUM(C79:C83)</f>
        <v>91.424229999999994</v>
      </c>
      <c r="D85" s="15">
        <f>+SUM(D79:D84)</f>
        <v>147.49540999999999</v>
      </c>
      <c r="E85" s="13">
        <f>+SUM(E79:E84)</f>
        <v>99.999999999999986</v>
      </c>
      <c r="H85"/>
    </row>
    <row r="86" spans="1:8" x14ac:dyDescent="0.25">
      <c r="H86"/>
    </row>
    <row r="87" spans="1:8" x14ac:dyDescent="0.25">
      <c r="A87" s="35"/>
      <c r="B87" s="37" t="s">
        <v>117</v>
      </c>
      <c r="C87" s="35"/>
      <c r="D87" s="35"/>
      <c r="E87" s="35"/>
      <c r="H87"/>
    </row>
    <row r="88" spans="1:8" x14ac:dyDescent="0.25">
      <c r="A88" s="1" t="s">
        <v>0</v>
      </c>
      <c r="B88" s="1" t="s">
        <v>1</v>
      </c>
      <c r="C88" s="2" t="s">
        <v>2</v>
      </c>
      <c r="D88" s="2" t="s">
        <v>56</v>
      </c>
      <c r="E88" s="2" t="s">
        <v>16</v>
      </c>
      <c r="H88"/>
    </row>
    <row r="89" spans="1:8" x14ac:dyDescent="0.25">
      <c r="A89" s="7" t="s">
        <v>3</v>
      </c>
      <c r="B89" s="6">
        <v>1.645</v>
      </c>
      <c r="C89" s="4">
        <f>15530.53/1000</f>
        <v>15.530530000000001</v>
      </c>
      <c r="D89" s="17">
        <f t="shared" ref="D89:D94" si="19">SUM(B89:C89)</f>
        <v>17.175530000000002</v>
      </c>
      <c r="E89" s="11">
        <f>+D89/$D$95*100</f>
        <v>13.112341779762057</v>
      </c>
      <c r="H89"/>
    </row>
    <row r="90" spans="1:8" x14ac:dyDescent="0.25">
      <c r="A90" s="7" t="s">
        <v>4</v>
      </c>
      <c r="B90" s="6">
        <f>42.5/1000</f>
        <v>4.2500000000000003E-2</v>
      </c>
      <c r="C90" s="4">
        <f>0/1000</f>
        <v>0</v>
      </c>
      <c r="D90" s="17">
        <f t="shared" si="19"/>
        <v>4.2500000000000003E-2</v>
      </c>
      <c r="E90" s="11">
        <f t="shared" ref="E90:E94" si="20">+D90/$D$95*100</f>
        <v>3.2445841592072408E-2</v>
      </c>
      <c r="H90"/>
    </row>
    <row r="91" spans="1:8" x14ac:dyDescent="0.25">
      <c r="A91" s="7" t="s">
        <v>5</v>
      </c>
      <c r="B91" s="6">
        <v>4.0330000000000004</v>
      </c>
      <c r="C91" s="4">
        <f>40800.05/1000</f>
        <v>40.800050000000006</v>
      </c>
      <c r="D91" s="17">
        <f t="shared" si="19"/>
        <v>44.833050000000007</v>
      </c>
      <c r="E91" s="11">
        <f t="shared" si="20"/>
        <v>34.226965609163813</v>
      </c>
      <c r="H91"/>
    </row>
    <row r="92" spans="1:8" x14ac:dyDescent="0.25">
      <c r="A92" s="7" t="s">
        <v>6</v>
      </c>
      <c r="B92" s="6">
        <v>2.3069999999999999</v>
      </c>
      <c r="C92" s="4">
        <f>8327.93/1000</f>
        <v>8.3279300000000003</v>
      </c>
      <c r="D92" s="17">
        <f t="shared" si="19"/>
        <v>10.634930000000001</v>
      </c>
      <c r="E92" s="11">
        <f t="shared" si="20"/>
        <v>8.1190412734771442</v>
      </c>
      <c r="H92"/>
    </row>
    <row r="93" spans="1:8" x14ac:dyDescent="0.25">
      <c r="A93" s="7" t="s">
        <v>7</v>
      </c>
      <c r="B93" s="6">
        <f>1137.5/1000</f>
        <v>1.1375</v>
      </c>
      <c r="C93" s="4">
        <f>11817.17/1000</f>
        <v>11.817170000000001</v>
      </c>
      <c r="D93" s="17">
        <f t="shared" si="19"/>
        <v>12.95467</v>
      </c>
      <c r="E93" s="11">
        <f t="shared" si="20"/>
        <v>9.8900040164134744</v>
      </c>
      <c r="H93"/>
    </row>
    <row r="94" spans="1:8" x14ac:dyDescent="0.25">
      <c r="A94" s="7" t="s">
        <v>8</v>
      </c>
      <c r="B94" s="75">
        <f>786.5/1000</f>
        <v>0.78649999999999998</v>
      </c>
      <c r="C94" s="75">
        <f>44560.33/1000</f>
        <v>44.56033</v>
      </c>
      <c r="D94" s="75">
        <f t="shared" si="19"/>
        <v>45.346829999999997</v>
      </c>
      <c r="E94" s="75">
        <f t="shared" si="20"/>
        <v>34.619201479591453</v>
      </c>
      <c r="H94"/>
    </row>
    <row r="95" spans="1:8" x14ac:dyDescent="0.25">
      <c r="A95" s="1" t="s">
        <v>9</v>
      </c>
      <c r="B95" s="15">
        <f>+SUM(B89:B93)</f>
        <v>9.1649999999999991</v>
      </c>
      <c r="C95" s="15">
        <f>+SUM(C89:C93)</f>
        <v>76.475680000000011</v>
      </c>
      <c r="D95" s="15">
        <f>+SUM(D89:D94)</f>
        <v>130.98750999999999</v>
      </c>
      <c r="E95" s="13">
        <f>+SUM(E89:E94)</f>
        <v>100.00000000000001</v>
      </c>
      <c r="H95"/>
    </row>
    <row r="96" spans="1:8" x14ac:dyDescent="0.25">
      <c r="E96"/>
      <c r="H96"/>
    </row>
    <row r="97" spans="1:8" x14ac:dyDescent="0.25">
      <c r="A97" s="35"/>
      <c r="B97" s="37" t="s">
        <v>119</v>
      </c>
      <c r="C97" s="35"/>
      <c r="D97" s="35"/>
      <c r="E97" s="35"/>
      <c r="H97"/>
    </row>
    <row r="98" spans="1:8" x14ac:dyDescent="0.25">
      <c r="A98" s="1" t="s">
        <v>0</v>
      </c>
      <c r="B98" s="1" t="s">
        <v>1</v>
      </c>
      <c r="C98" s="2" t="s">
        <v>2</v>
      </c>
      <c r="D98" s="2" t="s">
        <v>56</v>
      </c>
      <c r="E98" s="2" t="s">
        <v>16</v>
      </c>
      <c r="H98"/>
    </row>
    <row r="99" spans="1:8" x14ac:dyDescent="0.25">
      <c r="A99" s="7" t="s">
        <v>3</v>
      </c>
      <c r="B99" s="6">
        <v>1.651</v>
      </c>
      <c r="C99" s="4">
        <v>18.5532</v>
      </c>
      <c r="D99" s="17">
        <f t="shared" ref="D99:D104" si="21">SUM(B99:C99)</f>
        <v>20.2042</v>
      </c>
      <c r="E99" s="11">
        <f>+D99/$D$105*100</f>
        <v>12.769035685701303</v>
      </c>
      <c r="H99"/>
    </row>
    <row r="100" spans="1:8" x14ac:dyDescent="0.25">
      <c r="A100" s="7" t="s">
        <v>4</v>
      </c>
      <c r="B100" s="6">
        <v>0.1031</v>
      </c>
      <c r="C100" s="4">
        <v>0</v>
      </c>
      <c r="D100" s="17">
        <f t="shared" si="21"/>
        <v>0.1031</v>
      </c>
      <c r="E100" s="11">
        <f t="shared" ref="E100:E103" si="22">+D100/$D$105*100</f>
        <v>6.5159104502816451E-2</v>
      </c>
    </row>
    <row r="101" spans="1:8" x14ac:dyDescent="0.25">
      <c r="A101" s="7" t="s">
        <v>5</v>
      </c>
      <c r="B101" s="6">
        <v>5.1174999999999997</v>
      </c>
      <c r="C101" s="4">
        <v>59.90513</v>
      </c>
      <c r="D101" s="17">
        <f t="shared" si="21"/>
        <v>65.022629999999992</v>
      </c>
      <c r="E101" s="11">
        <f t="shared" si="22"/>
        <v>41.094241932279026</v>
      </c>
    </row>
    <row r="102" spans="1:8" x14ac:dyDescent="0.25">
      <c r="A102" s="7" t="s">
        <v>6</v>
      </c>
      <c r="B102" s="6">
        <v>3.766</v>
      </c>
      <c r="C102" s="4">
        <v>8.3012499999999996</v>
      </c>
      <c r="D102" s="17">
        <f t="shared" si="21"/>
        <v>12.06725</v>
      </c>
      <c r="E102" s="11">
        <f t="shared" si="22"/>
        <v>7.6264908226150503</v>
      </c>
    </row>
    <row r="103" spans="1:8" x14ac:dyDescent="0.25">
      <c r="A103" s="7" t="s">
        <v>7</v>
      </c>
      <c r="B103" s="6">
        <v>1.4744999999999999</v>
      </c>
      <c r="C103" s="4">
        <v>13.834670000000001</v>
      </c>
      <c r="D103" s="17">
        <f t="shared" si="21"/>
        <v>15.309170000000002</v>
      </c>
      <c r="E103" s="11">
        <f t="shared" si="22"/>
        <v>9.6753812597612292</v>
      </c>
    </row>
    <row r="104" spans="1:8" x14ac:dyDescent="0.25">
      <c r="A104" s="7" t="s">
        <v>8</v>
      </c>
      <c r="B104" s="75">
        <v>0.91849999999999998</v>
      </c>
      <c r="C104" s="75">
        <v>44.603230000000003</v>
      </c>
      <c r="D104" s="75">
        <f t="shared" si="21"/>
        <v>45.521730000000005</v>
      </c>
      <c r="E104" s="75">
        <f>+D104/$D$105*100</f>
        <v>28.769691195140588</v>
      </c>
    </row>
    <row r="105" spans="1:8" x14ac:dyDescent="0.25">
      <c r="A105" s="1" t="s">
        <v>9</v>
      </c>
      <c r="B105" s="15">
        <f>+SUM(B99:B103)</f>
        <v>12.112099999999998</v>
      </c>
      <c r="C105" s="15">
        <f>+SUM(C99:C103)</f>
        <v>100.59425</v>
      </c>
      <c r="D105" s="15">
        <f>+SUM(D99:D104)</f>
        <v>158.22807999999998</v>
      </c>
      <c r="E105" s="13">
        <f>+SUM(E99:E104)</f>
        <v>100</v>
      </c>
    </row>
    <row r="108" spans="1:8" x14ac:dyDescent="0.25">
      <c r="E108"/>
      <c r="H108"/>
    </row>
    <row r="109" spans="1:8" x14ac:dyDescent="0.25">
      <c r="E109"/>
      <c r="H109"/>
    </row>
    <row r="110" spans="1:8" x14ac:dyDescent="0.25">
      <c r="E110"/>
      <c r="H110"/>
    </row>
    <row r="111" spans="1:8" x14ac:dyDescent="0.25">
      <c r="E111"/>
      <c r="H111"/>
    </row>
  </sheetData>
  <mergeCells count="11">
    <mergeCell ref="J40:Q41"/>
    <mergeCell ref="A7:E7"/>
    <mergeCell ref="A17:E17"/>
    <mergeCell ref="A27:E27"/>
    <mergeCell ref="A6:K6"/>
    <mergeCell ref="J37:N37"/>
    <mergeCell ref="A37:E37"/>
    <mergeCell ref="N7:P7"/>
    <mergeCell ref="Q7:Q8"/>
    <mergeCell ref="M6:Q6"/>
    <mergeCell ref="J34:Q34"/>
  </mergeCells>
  <phoneticPr fontId="4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E9AE3-CA01-4350-9914-92E7B191FCF7}">
  <dimension ref="A1:O170"/>
  <sheetViews>
    <sheetView topLeftCell="E1" zoomScale="85" zoomScaleNormal="85" workbookViewId="0">
      <selection activeCell="J17" sqref="J17"/>
    </sheetView>
  </sheetViews>
  <sheetFormatPr baseColWidth="10" defaultRowHeight="15" x14ac:dyDescent="0.25"/>
  <cols>
    <col min="4" max="4" width="12.7109375" bestFit="1" customWidth="1"/>
    <col min="9" max="9" width="42.5703125" bestFit="1" customWidth="1"/>
    <col min="10" max="10" width="20.85546875" bestFit="1" customWidth="1"/>
    <col min="11" max="11" width="25.42578125" bestFit="1" customWidth="1"/>
    <col min="12" max="12" width="28" customWidth="1"/>
    <col min="13" max="13" width="15" customWidth="1"/>
    <col min="14" max="14" width="7.5703125" bestFit="1" customWidth="1"/>
    <col min="15" max="15" width="16.5703125" bestFit="1" customWidth="1"/>
  </cols>
  <sheetData>
    <row r="1" spans="1:15" ht="21" x14ac:dyDescent="0.35">
      <c r="A1" s="133" t="s">
        <v>101</v>
      </c>
      <c r="B1" s="133"/>
      <c r="C1" s="133"/>
      <c r="D1" s="133"/>
      <c r="E1" s="133"/>
      <c r="F1" s="133"/>
      <c r="G1" s="133"/>
      <c r="I1" s="57"/>
      <c r="J1" s="57"/>
      <c r="K1" s="57"/>
      <c r="L1" s="57"/>
      <c r="M1" s="58"/>
      <c r="N1" s="58"/>
      <c r="O1" s="58"/>
    </row>
    <row r="2" spans="1:15" ht="15.75" x14ac:dyDescent="0.25">
      <c r="A2" s="122" t="s">
        <v>0</v>
      </c>
      <c r="B2" s="123"/>
      <c r="C2" s="124"/>
      <c r="D2" s="122" t="s">
        <v>71</v>
      </c>
      <c r="E2" s="124"/>
      <c r="F2" s="127" t="s">
        <v>72</v>
      </c>
      <c r="G2" s="128"/>
      <c r="I2" s="55" t="s">
        <v>0</v>
      </c>
      <c r="J2" s="66" t="s">
        <v>71</v>
      </c>
      <c r="K2" s="67" t="s">
        <v>16</v>
      </c>
      <c r="L2" s="59" t="s">
        <v>72</v>
      </c>
      <c r="M2" s="54"/>
      <c r="N2" s="4">
        <v>77.790000000000006</v>
      </c>
      <c r="O2" t="s">
        <v>107</v>
      </c>
    </row>
    <row r="3" spans="1:15" ht="15.75" x14ac:dyDescent="0.25">
      <c r="A3" s="120" t="s">
        <v>89</v>
      </c>
      <c r="B3" s="120"/>
      <c r="C3" s="120"/>
      <c r="D3" s="120">
        <v>2.4319999999999999</v>
      </c>
      <c r="E3" s="120"/>
      <c r="F3" s="134">
        <v>41335.5</v>
      </c>
      <c r="G3" s="134"/>
      <c r="I3" s="60" t="s">
        <v>73</v>
      </c>
      <c r="J3" s="61">
        <f>+SUM(D3,D20,D37,D54,D71,D88,D105,D122,D139,D156)</f>
        <v>20.806650000000005</v>
      </c>
      <c r="K3" s="62">
        <f t="shared" ref="K3:K16" si="0">+J3*100/$J$18</f>
        <v>1.5739112637246493</v>
      </c>
      <c r="L3" s="56">
        <f>+SUM(F3,F20,F37,F54,F71,F88,F105,F122,F139,F156)</f>
        <v>353703.86999999994</v>
      </c>
      <c r="N3" s="4">
        <v>85.42</v>
      </c>
      <c r="O3" t="s">
        <v>108</v>
      </c>
    </row>
    <row r="4" spans="1:15" ht="15.75" x14ac:dyDescent="0.25">
      <c r="A4" s="120" t="s">
        <v>90</v>
      </c>
      <c r="B4" s="120"/>
      <c r="C4" s="120"/>
      <c r="D4" s="120">
        <v>1.5369999999999999</v>
      </c>
      <c r="E4" s="120"/>
      <c r="F4" s="120">
        <v>0</v>
      </c>
      <c r="G4" s="120"/>
      <c r="I4" s="60" t="s">
        <v>74</v>
      </c>
      <c r="J4" s="61">
        <f t="shared" ref="J4:J16" si="1">+SUM(D4,D21,D38,D55,D72,D89,D106,D123,D140,D157)</f>
        <v>7.0774699999999999</v>
      </c>
      <c r="K4" s="62">
        <f t="shared" si="0"/>
        <v>0.53537257327216492</v>
      </c>
      <c r="L4" s="56">
        <f t="shared" ref="L4:L16" si="2">+SUM(F4,F21,F38,F55,F72,F89,F106,F123,F140,F157)</f>
        <v>0</v>
      </c>
      <c r="N4" s="74">
        <v>4.9000000000000004</v>
      </c>
      <c r="O4" t="s">
        <v>124</v>
      </c>
    </row>
    <row r="5" spans="1:15" ht="15.75" x14ac:dyDescent="0.25">
      <c r="A5" s="120" t="s">
        <v>91</v>
      </c>
      <c r="B5" s="120"/>
      <c r="C5" s="120"/>
      <c r="D5" s="120">
        <v>23.154</v>
      </c>
      <c r="E5" s="120"/>
      <c r="F5" s="129">
        <v>162078</v>
      </c>
      <c r="G5" s="129"/>
      <c r="I5" s="60" t="s">
        <v>75</v>
      </c>
      <c r="J5" s="61">
        <f t="shared" si="1"/>
        <v>184.54</v>
      </c>
      <c r="K5" s="62">
        <f t="shared" si="0"/>
        <v>13.959459336690275</v>
      </c>
      <c r="L5" s="56">
        <f t="shared" si="2"/>
        <v>1291780</v>
      </c>
      <c r="N5" s="74">
        <v>6</v>
      </c>
      <c r="O5" t="s">
        <v>125</v>
      </c>
    </row>
    <row r="6" spans="1:15" ht="15.75" x14ac:dyDescent="0.25">
      <c r="A6" s="120" t="s">
        <v>76</v>
      </c>
      <c r="B6" s="120"/>
      <c r="C6" s="120"/>
      <c r="D6" s="120">
        <v>19.754000000000001</v>
      </c>
      <c r="E6" s="120"/>
      <c r="F6" s="120">
        <v>0</v>
      </c>
      <c r="G6" s="120"/>
      <c r="I6" s="60" t="s">
        <v>76</v>
      </c>
      <c r="J6" s="61">
        <f t="shared" si="1"/>
        <v>221.35820000000004</v>
      </c>
      <c r="K6" s="62">
        <f t="shared" si="0"/>
        <v>16.744558316586939</v>
      </c>
      <c r="L6" s="56">
        <f t="shared" si="2"/>
        <v>0</v>
      </c>
    </row>
    <row r="7" spans="1:15" ht="15.75" x14ac:dyDescent="0.25">
      <c r="A7" s="120" t="s">
        <v>92</v>
      </c>
      <c r="B7" s="120"/>
      <c r="C7" s="120"/>
      <c r="D7" s="120">
        <v>8.9939999999999998</v>
      </c>
      <c r="E7" s="120"/>
      <c r="F7" s="120">
        <v>0</v>
      </c>
      <c r="G7" s="120"/>
      <c r="I7" s="60" t="s">
        <v>77</v>
      </c>
      <c r="J7" s="61">
        <f t="shared" si="1"/>
        <v>33.145800000000001</v>
      </c>
      <c r="K7" s="62">
        <f t="shared" si="0"/>
        <v>2.5073016542867048</v>
      </c>
      <c r="L7" s="56">
        <f t="shared" si="2"/>
        <v>0</v>
      </c>
    </row>
    <row r="8" spans="1:15" ht="15.75" x14ac:dyDescent="0.25">
      <c r="A8" s="120" t="s">
        <v>93</v>
      </c>
      <c r="B8" s="120"/>
      <c r="C8" s="120"/>
      <c r="D8" s="120">
        <v>9.9870000000000001</v>
      </c>
      <c r="E8" s="120"/>
      <c r="F8" s="129">
        <v>99870</v>
      </c>
      <c r="G8" s="129"/>
      <c r="I8" s="60" t="s">
        <v>78</v>
      </c>
      <c r="J8" s="61">
        <f t="shared" si="1"/>
        <v>84.887820000000005</v>
      </c>
      <c r="K8" s="62">
        <f t="shared" si="0"/>
        <v>6.4213074209942755</v>
      </c>
      <c r="L8" s="56">
        <f t="shared" si="2"/>
        <v>848878.20000000007</v>
      </c>
    </row>
    <row r="9" spans="1:15" ht="15.75" x14ac:dyDescent="0.25">
      <c r="A9" s="120" t="s">
        <v>94</v>
      </c>
      <c r="B9" s="120"/>
      <c r="C9" s="120"/>
      <c r="D9" s="120">
        <v>6.6980000000000004</v>
      </c>
      <c r="E9" s="120"/>
      <c r="F9" s="129">
        <v>66980</v>
      </c>
      <c r="G9" s="129"/>
      <c r="I9" s="60" t="s">
        <v>79</v>
      </c>
      <c r="J9" s="61">
        <f t="shared" si="1"/>
        <v>68.021429999999995</v>
      </c>
      <c r="K9" s="62">
        <f t="shared" si="0"/>
        <v>5.1454556524792663</v>
      </c>
      <c r="L9" s="56">
        <f t="shared" si="2"/>
        <v>680214.29999999993</v>
      </c>
    </row>
    <row r="10" spans="1:15" ht="15.75" x14ac:dyDescent="0.25">
      <c r="A10" s="120" t="s">
        <v>95</v>
      </c>
      <c r="B10" s="120"/>
      <c r="C10" s="120"/>
      <c r="D10" s="120">
        <v>0</v>
      </c>
      <c r="E10" s="120"/>
      <c r="F10" s="120">
        <v>0</v>
      </c>
      <c r="G10" s="120"/>
      <c r="I10" s="60" t="s">
        <v>80</v>
      </c>
      <c r="J10" s="61">
        <f t="shared" si="1"/>
        <v>0.30099999999999999</v>
      </c>
      <c r="K10" s="62">
        <f t="shared" si="0"/>
        <v>2.2769032515139117E-2</v>
      </c>
      <c r="L10" s="56">
        <f t="shared" si="2"/>
        <v>3010</v>
      </c>
    </row>
    <row r="11" spans="1:15" ht="15.75" x14ac:dyDescent="0.25">
      <c r="A11" s="120" t="s">
        <v>96</v>
      </c>
      <c r="B11" s="120"/>
      <c r="C11" s="120"/>
      <c r="D11" s="120">
        <v>3.1070000000000002</v>
      </c>
      <c r="E11" s="120"/>
      <c r="F11" s="129">
        <v>31070</v>
      </c>
      <c r="G11" s="129"/>
      <c r="I11" s="60" t="s">
        <v>81</v>
      </c>
      <c r="J11" s="61">
        <f t="shared" si="1"/>
        <v>27.676880000000001</v>
      </c>
      <c r="K11" s="62">
        <f t="shared" si="0"/>
        <v>2.0936072446432012</v>
      </c>
      <c r="L11" s="56">
        <f t="shared" si="2"/>
        <v>31070</v>
      </c>
    </row>
    <row r="12" spans="1:15" ht="15.75" x14ac:dyDescent="0.25">
      <c r="A12" s="120" t="s">
        <v>97</v>
      </c>
      <c r="B12" s="120"/>
      <c r="C12" s="120"/>
      <c r="D12" s="120">
        <v>1.462</v>
      </c>
      <c r="E12" s="120"/>
      <c r="F12" s="129">
        <v>58480</v>
      </c>
      <c r="G12" s="129"/>
      <c r="I12" s="60" t="s">
        <v>82</v>
      </c>
      <c r="J12" s="61">
        <f t="shared" si="1"/>
        <v>12.756160000000003</v>
      </c>
      <c r="K12" s="62">
        <f t="shared" si="0"/>
        <v>0.96493495617381075</v>
      </c>
      <c r="L12" s="56">
        <f t="shared" si="2"/>
        <v>510246.39999999991</v>
      </c>
    </row>
    <row r="13" spans="1:15" ht="15.75" x14ac:dyDescent="0.25">
      <c r="A13" s="120" t="s">
        <v>98</v>
      </c>
      <c r="B13" s="120"/>
      <c r="C13" s="120"/>
      <c r="D13" s="120">
        <v>6.1379999999999999</v>
      </c>
      <c r="E13" s="120"/>
      <c r="F13" s="129">
        <v>30690</v>
      </c>
      <c r="G13" s="129"/>
      <c r="I13" s="60" t="s">
        <v>83</v>
      </c>
      <c r="J13" s="61">
        <f t="shared" si="1"/>
        <v>67.427509999999998</v>
      </c>
      <c r="K13" s="62">
        <f t="shared" si="0"/>
        <v>5.1005287960294616</v>
      </c>
      <c r="L13" s="56">
        <f t="shared" si="2"/>
        <v>337137.55</v>
      </c>
    </row>
    <row r="14" spans="1:15" ht="15.75" x14ac:dyDescent="0.25">
      <c r="A14" s="120" t="s">
        <v>99</v>
      </c>
      <c r="B14" s="120"/>
      <c r="C14" s="120"/>
      <c r="D14" s="120">
        <v>6.2779999999999996</v>
      </c>
      <c r="E14" s="120"/>
      <c r="F14" s="120">
        <v>0</v>
      </c>
      <c r="G14" s="120"/>
      <c r="I14" s="60" t="s">
        <v>84</v>
      </c>
      <c r="J14" s="61">
        <f t="shared" si="1"/>
        <v>64.511449999999996</v>
      </c>
      <c r="K14" s="62">
        <f t="shared" si="0"/>
        <v>4.8799445270723298</v>
      </c>
      <c r="L14" s="56">
        <f t="shared" si="2"/>
        <v>0</v>
      </c>
    </row>
    <row r="15" spans="1:15" ht="15.75" x14ac:dyDescent="0.25">
      <c r="A15" s="120" t="s">
        <v>100</v>
      </c>
      <c r="B15" s="120"/>
      <c r="C15" s="120"/>
      <c r="D15" s="120">
        <v>23.251999999999999</v>
      </c>
      <c r="E15" s="120"/>
      <c r="F15" s="120">
        <v>0</v>
      </c>
      <c r="G15" s="120"/>
      <c r="I15" s="60" t="s">
        <v>85</v>
      </c>
      <c r="J15" s="61">
        <f t="shared" si="1"/>
        <v>126.09263000000001</v>
      </c>
      <c r="K15" s="62">
        <f t="shared" si="0"/>
        <v>9.5382298750478611</v>
      </c>
      <c r="L15" s="56">
        <f t="shared" si="2"/>
        <v>0</v>
      </c>
    </row>
    <row r="16" spans="1:15" ht="15.75" x14ac:dyDescent="0.25">
      <c r="A16" s="120" t="s">
        <v>8</v>
      </c>
      <c r="B16" s="120"/>
      <c r="C16" s="120"/>
      <c r="D16" s="120">
        <v>30.100999999999999</v>
      </c>
      <c r="E16" s="120"/>
      <c r="F16" s="120">
        <v>0</v>
      </c>
      <c r="G16" s="120"/>
      <c r="I16" s="60" t="s">
        <v>8</v>
      </c>
      <c r="J16" s="61">
        <f t="shared" si="1"/>
        <v>403.36796999999996</v>
      </c>
      <c r="K16" s="62">
        <f t="shared" si="0"/>
        <v>30.51261935048392</v>
      </c>
      <c r="L16" s="56">
        <f t="shared" si="2"/>
        <v>0</v>
      </c>
    </row>
    <row r="17" spans="1:12" ht="15.75" x14ac:dyDescent="0.25">
      <c r="A17" s="122" t="s">
        <v>44</v>
      </c>
      <c r="B17" s="123"/>
      <c r="C17" s="124"/>
      <c r="D17" s="125">
        <f>SUM(D3:E15)</f>
        <v>112.79300000000002</v>
      </c>
      <c r="E17" s="126"/>
      <c r="F17" s="127">
        <f>SUM(F3:G16)</f>
        <v>490503.5</v>
      </c>
      <c r="G17" s="128"/>
      <c r="I17" s="55" t="s">
        <v>44</v>
      </c>
      <c r="J17" s="63">
        <f>+SUM(J3:J15)</f>
        <v>918.60300000000007</v>
      </c>
      <c r="K17" s="64">
        <f>+SUM(K3:K16)</f>
        <v>99.999999999999986</v>
      </c>
      <c r="L17" s="65">
        <f>+SUM(L3:L16)</f>
        <v>4056040.3199999994</v>
      </c>
    </row>
    <row r="18" spans="1:12" ht="21" x14ac:dyDescent="0.35">
      <c r="A18" s="133" t="s">
        <v>88</v>
      </c>
      <c r="B18" s="133"/>
      <c r="C18" s="133"/>
      <c r="D18" s="133"/>
      <c r="E18" s="133"/>
      <c r="F18" s="133"/>
      <c r="G18" s="133"/>
      <c r="I18" s="82" t="s">
        <v>120</v>
      </c>
      <c r="J18" s="81">
        <f>+SUM(J3:J16)</f>
        <v>1321.9709700000001</v>
      </c>
    </row>
    <row r="19" spans="1:12" ht="15.75" x14ac:dyDescent="0.25">
      <c r="A19" s="122" t="s">
        <v>0</v>
      </c>
      <c r="B19" s="123"/>
      <c r="C19" s="124"/>
      <c r="D19" s="122" t="s">
        <v>71</v>
      </c>
      <c r="E19" s="124"/>
      <c r="F19" s="127" t="s">
        <v>72</v>
      </c>
      <c r="G19" s="128"/>
    </row>
    <row r="20" spans="1:12" ht="15.75" x14ac:dyDescent="0.25">
      <c r="A20" s="130" t="s">
        <v>73</v>
      </c>
      <c r="B20" s="131"/>
      <c r="C20" s="132"/>
      <c r="D20" s="130">
        <v>3.883</v>
      </c>
      <c r="E20" s="132"/>
      <c r="F20" s="135">
        <v>66010.320000000007</v>
      </c>
      <c r="G20" s="136"/>
    </row>
    <row r="21" spans="1:12" ht="15.75" x14ac:dyDescent="0.25">
      <c r="A21" s="130" t="s">
        <v>74</v>
      </c>
      <c r="B21" s="131"/>
      <c r="C21" s="132"/>
      <c r="D21" s="130">
        <v>0.85599999999999998</v>
      </c>
      <c r="E21" s="132"/>
      <c r="F21" s="135">
        <v>0</v>
      </c>
      <c r="G21" s="136"/>
      <c r="I21" s="121" t="s">
        <v>103</v>
      </c>
      <c r="J21" s="121"/>
      <c r="K21" s="121"/>
      <c r="L21" s="121"/>
    </row>
    <row r="22" spans="1:12" ht="16.5" thickBot="1" x14ac:dyDescent="0.3">
      <c r="A22" s="130" t="s">
        <v>75</v>
      </c>
      <c r="B22" s="131"/>
      <c r="C22" s="132"/>
      <c r="D22" s="130">
        <v>8.5760000000000005</v>
      </c>
      <c r="E22" s="132"/>
      <c r="F22" s="135">
        <v>60032</v>
      </c>
      <c r="G22" s="136"/>
      <c r="I22" s="68" t="s">
        <v>102</v>
      </c>
      <c r="J22" s="73">
        <f>+SUM(J3:J15)+N2+N3</f>
        <v>1081.8130000000001</v>
      </c>
      <c r="K22" s="80">
        <f>+J22*100/J24</f>
        <v>72.309789489535461</v>
      </c>
      <c r="L22" s="7" t="s">
        <v>123</v>
      </c>
    </row>
    <row r="23" spans="1:12" ht="16.5" thickBot="1" x14ac:dyDescent="0.3">
      <c r="A23" s="130" t="s">
        <v>76</v>
      </c>
      <c r="B23" s="131"/>
      <c r="C23" s="132"/>
      <c r="D23" s="130">
        <v>16.661000000000001</v>
      </c>
      <c r="E23" s="132"/>
      <c r="F23" s="135">
        <v>0</v>
      </c>
      <c r="G23" s="136"/>
      <c r="I23" s="68" t="s">
        <v>104</v>
      </c>
      <c r="J23" s="73">
        <f>+J16+N4+N5</f>
        <v>414.26796999999993</v>
      </c>
      <c r="K23" s="93">
        <f>+J23*100/J24</f>
        <v>27.690210510464546</v>
      </c>
      <c r="L23" s="94" t="s">
        <v>121</v>
      </c>
    </row>
    <row r="24" spans="1:12" ht="15.75" x14ac:dyDescent="0.25">
      <c r="A24" s="130" t="s">
        <v>77</v>
      </c>
      <c r="B24" s="131"/>
      <c r="C24" s="132"/>
      <c r="D24" s="130">
        <v>3.17</v>
      </c>
      <c r="E24" s="132"/>
      <c r="F24" s="135">
        <v>0</v>
      </c>
      <c r="G24" s="136"/>
      <c r="J24" s="69">
        <f>+J22+J23</f>
        <v>1496.08097</v>
      </c>
      <c r="K24" s="69"/>
    </row>
    <row r="25" spans="1:12" ht="15.75" x14ac:dyDescent="0.25">
      <c r="A25" s="130" t="s">
        <v>78</v>
      </c>
      <c r="B25" s="131"/>
      <c r="C25" s="132"/>
      <c r="D25" s="130">
        <v>8.3550000000000004</v>
      </c>
      <c r="E25" s="132"/>
      <c r="F25" s="135">
        <v>83550</v>
      </c>
      <c r="G25" s="136"/>
    </row>
    <row r="26" spans="1:12" ht="15.75" x14ac:dyDescent="0.25">
      <c r="A26" s="130" t="s">
        <v>79</v>
      </c>
      <c r="B26" s="131"/>
      <c r="C26" s="132"/>
      <c r="D26" s="130">
        <v>6.327</v>
      </c>
      <c r="E26" s="132"/>
      <c r="F26" s="135">
        <v>63270</v>
      </c>
      <c r="G26" s="136"/>
    </row>
    <row r="27" spans="1:12" ht="15.75" x14ac:dyDescent="0.25">
      <c r="A27" s="130" t="s">
        <v>80</v>
      </c>
      <c r="B27" s="131"/>
      <c r="C27" s="132"/>
      <c r="D27" s="130">
        <v>0</v>
      </c>
      <c r="E27" s="132"/>
      <c r="F27" s="135">
        <v>0</v>
      </c>
      <c r="G27" s="136"/>
    </row>
    <row r="28" spans="1:12" ht="15.75" x14ac:dyDescent="0.25">
      <c r="A28" s="130" t="s">
        <v>81</v>
      </c>
      <c r="B28" s="131"/>
      <c r="C28" s="132"/>
      <c r="D28" s="130">
        <v>2.3820000000000001</v>
      </c>
      <c r="E28" s="132"/>
      <c r="F28" s="135">
        <v>0</v>
      </c>
      <c r="G28" s="136"/>
    </row>
    <row r="29" spans="1:12" ht="15.75" x14ac:dyDescent="0.25">
      <c r="A29" s="130" t="s">
        <v>82</v>
      </c>
      <c r="B29" s="131"/>
      <c r="C29" s="132"/>
      <c r="D29" s="130">
        <v>1.444</v>
      </c>
      <c r="E29" s="132"/>
      <c r="F29" s="135">
        <v>57760</v>
      </c>
      <c r="G29" s="136"/>
    </row>
    <row r="30" spans="1:12" ht="15.75" x14ac:dyDescent="0.25">
      <c r="A30" s="130" t="s">
        <v>83</v>
      </c>
      <c r="B30" s="131"/>
      <c r="C30" s="132"/>
      <c r="D30" s="137">
        <v>7.2939999999999996</v>
      </c>
      <c r="E30" s="138"/>
      <c r="F30" s="135">
        <v>36470</v>
      </c>
      <c r="G30" s="136"/>
    </row>
    <row r="31" spans="1:12" ht="15.75" x14ac:dyDescent="0.25">
      <c r="A31" s="130" t="s">
        <v>84</v>
      </c>
      <c r="B31" s="131"/>
      <c r="C31" s="132"/>
      <c r="D31" s="130">
        <v>6.5179999999999998</v>
      </c>
      <c r="E31" s="132"/>
      <c r="F31" s="135">
        <v>0</v>
      </c>
      <c r="G31" s="136"/>
    </row>
    <row r="32" spans="1:12" ht="15.75" x14ac:dyDescent="0.25">
      <c r="A32" s="130" t="s">
        <v>85</v>
      </c>
      <c r="B32" s="131"/>
      <c r="C32" s="132"/>
      <c r="D32" s="130">
        <v>15.682</v>
      </c>
      <c r="E32" s="132"/>
      <c r="F32" s="135">
        <v>0</v>
      </c>
      <c r="G32" s="136"/>
    </row>
    <row r="33" spans="1:7" ht="15.75" x14ac:dyDescent="0.25">
      <c r="A33" s="130" t="s">
        <v>8</v>
      </c>
      <c r="B33" s="131"/>
      <c r="C33" s="132"/>
      <c r="D33" s="130">
        <v>35.640999999999998</v>
      </c>
      <c r="E33" s="132"/>
      <c r="F33" s="135">
        <v>0</v>
      </c>
      <c r="G33" s="136"/>
    </row>
    <row r="34" spans="1:7" ht="15.75" x14ac:dyDescent="0.25">
      <c r="A34" s="122" t="s">
        <v>44</v>
      </c>
      <c r="B34" s="123"/>
      <c r="C34" s="124"/>
      <c r="D34" s="125">
        <f>SUM(D20:E32)</f>
        <v>81.147999999999996</v>
      </c>
      <c r="E34" s="126"/>
      <c r="F34" s="127">
        <f>SUM(F20:G33)</f>
        <v>367092.32</v>
      </c>
      <c r="G34" s="128"/>
    </row>
    <row r="35" spans="1:7" ht="21" x14ac:dyDescent="0.35">
      <c r="A35" s="139" t="s">
        <v>87</v>
      </c>
      <c r="B35" s="139"/>
      <c r="C35" s="139"/>
      <c r="D35" s="139"/>
      <c r="E35" s="139"/>
      <c r="F35" s="139"/>
      <c r="G35" s="139"/>
    </row>
    <row r="36" spans="1:7" ht="15.75" x14ac:dyDescent="0.25">
      <c r="A36" s="122" t="s">
        <v>0</v>
      </c>
      <c r="B36" s="123"/>
      <c r="C36" s="124"/>
      <c r="D36" s="122" t="s">
        <v>71</v>
      </c>
      <c r="E36" s="124"/>
      <c r="F36" s="127" t="s">
        <v>72</v>
      </c>
      <c r="G36" s="128"/>
    </row>
    <row r="37" spans="1:7" ht="15.75" x14ac:dyDescent="0.25">
      <c r="A37" s="130" t="s">
        <v>73</v>
      </c>
      <c r="B37" s="131"/>
      <c r="C37" s="132"/>
      <c r="D37" s="130">
        <v>2.0516099999999997</v>
      </c>
      <c r="E37" s="132"/>
      <c r="F37" s="135">
        <v>34877.369999999995</v>
      </c>
      <c r="G37" s="136"/>
    </row>
    <row r="38" spans="1:7" ht="15.75" x14ac:dyDescent="0.25">
      <c r="A38" s="130" t="s">
        <v>74</v>
      </c>
      <c r="B38" s="131"/>
      <c r="C38" s="132"/>
      <c r="D38" s="130">
        <v>1.0509999999999999</v>
      </c>
      <c r="E38" s="132"/>
      <c r="F38" s="135">
        <v>0</v>
      </c>
      <c r="G38" s="136"/>
    </row>
    <row r="39" spans="1:7" ht="15.75" x14ac:dyDescent="0.25">
      <c r="A39" s="130" t="s">
        <v>75</v>
      </c>
      <c r="B39" s="131"/>
      <c r="C39" s="132"/>
      <c r="D39" s="130">
        <v>10.786</v>
      </c>
      <c r="E39" s="132"/>
      <c r="F39" s="135">
        <v>75502</v>
      </c>
      <c r="G39" s="136"/>
    </row>
    <row r="40" spans="1:7" ht="15.75" x14ac:dyDescent="0.25">
      <c r="A40" s="130" t="s">
        <v>76</v>
      </c>
      <c r="B40" s="131"/>
      <c r="C40" s="132"/>
      <c r="D40" s="130">
        <v>21.314</v>
      </c>
      <c r="E40" s="132"/>
      <c r="F40" s="135">
        <v>0</v>
      </c>
      <c r="G40" s="136"/>
    </row>
    <row r="41" spans="1:7" ht="15.75" x14ac:dyDescent="0.25">
      <c r="A41" s="130" t="s">
        <v>77</v>
      </c>
      <c r="B41" s="131"/>
      <c r="C41" s="132"/>
      <c r="D41" s="130">
        <v>4.0573900000000007</v>
      </c>
      <c r="E41" s="132"/>
      <c r="F41" s="135">
        <v>0</v>
      </c>
      <c r="G41" s="136"/>
    </row>
    <row r="42" spans="1:7" ht="15.75" x14ac:dyDescent="0.25">
      <c r="A42" s="130" t="s">
        <v>78</v>
      </c>
      <c r="B42" s="131"/>
      <c r="C42" s="132"/>
      <c r="D42" s="130">
        <v>8.9169999999999998</v>
      </c>
      <c r="E42" s="132"/>
      <c r="F42" s="135">
        <v>89170</v>
      </c>
      <c r="G42" s="136"/>
    </row>
    <row r="43" spans="1:7" ht="15.75" x14ac:dyDescent="0.25">
      <c r="A43" s="130" t="s">
        <v>79</v>
      </c>
      <c r="B43" s="131"/>
      <c r="C43" s="132"/>
      <c r="D43" s="130">
        <v>7.7489999999999997</v>
      </c>
      <c r="E43" s="132"/>
      <c r="F43" s="135">
        <v>77490</v>
      </c>
      <c r="G43" s="136"/>
    </row>
    <row r="44" spans="1:7" ht="15.75" x14ac:dyDescent="0.25">
      <c r="A44" s="130" t="s">
        <v>80</v>
      </c>
      <c r="B44" s="131"/>
      <c r="C44" s="132"/>
      <c r="D44" s="130">
        <v>0</v>
      </c>
      <c r="E44" s="132"/>
      <c r="F44" s="135">
        <v>0</v>
      </c>
      <c r="G44" s="136"/>
    </row>
    <row r="45" spans="1:7" ht="15.75" x14ac:dyDescent="0.25">
      <c r="A45" s="130" t="s">
        <v>81</v>
      </c>
      <c r="B45" s="131"/>
      <c r="C45" s="132"/>
      <c r="D45" s="130">
        <v>2.9039999999999999</v>
      </c>
      <c r="E45" s="132"/>
      <c r="F45" s="135">
        <v>0</v>
      </c>
      <c r="G45" s="136"/>
    </row>
    <row r="46" spans="1:7" ht="15.75" x14ac:dyDescent="0.25">
      <c r="A46" s="130" t="s">
        <v>82</v>
      </c>
      <c r="B46" s="131"/>
      <c r="C46" s="132"/>
      <c r="D46" s="130">
        <v>1.546</v>
      </c>
      <c r="E46" s="132"/>
      <c r="F46" s="135">
        <v>61840</v>
      </c>
      <c r="G46" s="136"/>
    </row>
    <row r="47" spans="1:7" ht="15.75" x14ac:dyDescent="0.25">
      <c r="A47" s="130" t="s">
        <v>83</v>
      </c>
      <c r="B47" s="131"/>
      <c r="C47" s="132"/>
      <c r="D47" s="137">
        <v>7.2709999999999999</v>
      </c>
      <c r="E47" s="138"/>
      <c r="F47" s="135">
        <v>36355</v>
      </c>
      <c r="G47" s="136"/>
    </row>
    <row r="48" spans="1:7" ht="15.75" x14ac:dyDescent="0.25">
      <c r="A48" s="130" t="s">
        <v>84</v>
      </c>
      <c r="B48" s="131"/>
      <c r="C48" s="132"/>
      <c r="D48" s="130">
        <v>6.5460000000000003</v>
      </c>
      <c r="E48" s="132"/>
      <c r="F48" s="135">
        <v>0</v>
      </c>
      <c r="G48" s="136"/>
    </row>
    <row r="49" spans="1:7" ht="15.75" x14ac:dyDescent="0.25">
      <c r="A49" s="130" t="s">
        <v>85</v>
      </c>
      <c r="B49" s="131"/>
      <c r="C49" s="132"/>
      <c r="D49" s="130">
        <v>12.816000000000001</v>
      </c>
      <c r="E49" s="132"/>
      <c r="F49" s="135">
        <v>0</v>
      </c>
      <c r="G49" s="136"/>
    </row>
    <row r="50" spans="1:7" ht="15.75" x14ac:dyDescent="0.25">
      <c r="A50" s="130" t="s">
        <v>8</v>
      </c>
      <c r="B50" s="131"/>
      <c r="C50" s="132"/>
      <c r="D50" s="130">
        <v>38.003999999999998</v>
      </c>
      <c r="E50" s="132"/>
      <c r="F50" s="135">
        <v>0</v>
      </c>
      <c r="G50" s="136"/>
    </row>
    <row r="51" spans="1:7" ht="15.75" x14ac:dyDescent="0.25">
      <c r="A51" s="122" t="s">
        <v>44</v>
      </c>
      <c r="B51" s="123"/>
      <c r="C51" s="124"/>
      <c r="D51" s="125">
        <f>SUM(D37:E49)</f>
        <v>87.009</v>
      </c>
      <c r="E51" s="126"/>
      <c r="F51" s="127">
        <f>SUM(F37:G50)</f>
        <v>375234.37</v>
      </c>
      <c r="G51" s="128"/>
    </row>
    <row r="52" spans="1:7" ht="21" x14ac:dyDescent="0.35">
      <c r="A52" s="139" t="s">
        <v>86</v>
      </c>
      <c r="B52" s="139"/>
      <c r="C52" s="139"/>
      <c r="D52" s="139"/>
      <c r="E52" s="139"/>
      <c r="F52" s="139"/>
      <c r="G52" s="139"/>
    </row>
    <row r="53" spans="1:7" ht="15.75" x14ac:dyDescent="0.25">
      <c r="A53" s="122" t="s">
        <v>0</v>
      </c>
      <c r="B53" s="123"/>
      <c r="C53" s="124"/>
      <c r="D53" s="122" t="s">
        <v>71</v>
      </c>
      <c r="E53" s="124"/>
      <c r="F53" s="127" t="s">
        <v>72</v>
      </c>
      <c r="G53" s="128"/>
    </row>
    <row r="54" spans="1:7" ht="15.75" x14ac:dyDescent="0.25">
      <c r="A54" s="130" t="s">
        <v>73</v>
      </c>
      <c r="B54" s="131"/>
      <c r="C54" s="132"/>
      <c r="D54" s="140">
        <f>(1204.74+692.34)/1000</f>
        <v>1.8970799999999999</v>
      </c>
      <c r="E54" s="141"/>
      <c r="F54" s="146">
        <f>D54*17000</f>
        <v>32250.359999999997</v>
      </c>
      <c r="G54" s="147"/>
    </row>
    <row r="55" spans="1:7" ht="15.75" x14ac:dyDescent="0.25">
      <c r="A55" s="130" t="s">
        <v>74</v>
      </c>
      <c r="B55" s="131"/>
      <c r="C55" s="132"/>
      <c r="D55" s="140">
        <f>(257.25+226.52)/1000</f>
        <v>0.48376999999999998</v>
      </c>
      <c r="E55" s="141"/>
      <c r="F55" s="146">
        <v>0</v>
      </c>
      <c r="G55" s="147"/>
    </row>
    <row r="56" spans="1:7" ht="15.75" x14ac:dyDescent="0.25">
      <c r="A56" s="130" t="s">
        <v>75</v>
      </c>
      <c r="B56" s="131"/>
      <c r="C56" s="132"/>
      <c r="D56" s="140">
        <f>(9870.22+10608.96)/1000</f>
        <v>20.479179999999999</v>
      </c>
      <c r="E56" s="141"/>
      <c r="F56" s="146">
        <f>D56*7000</f>
        <v>143354.26</v>
      </c>
      <c r="G56" s="147"/>
    </row>
    <row r="57" spans="1:7" ht="15.75" x14ac:dyDescent="0.25">
      <c r="A57" s="130" t="s">
        <v>76</v>
      </c>
      <c r="B57" s="131"/>
      <c r="C57" s="132"/>
      <c r="D57" s="140">
        <f>(11388.25+9584.64)/1000</f>
        <v>20.97289</v>
      </c>
      <c r="E57" s="141"/>
      <c r="F57" s="146">
        <v>0</v>
      </c>
      <c r="G57" s="147"/>
    </row>
    <row r="58" spans="1:7" ht="15.75" x14ac:dyDescent="0.25">
      <c r="A58" s="130" t="s">
        <v>77</v>
      </c>
      <c r="B58" s="131"/>
      <c r="C58" s="132"/>
      <c r="D58" s="140">
        <f>(1472.46+846.19)/1000</f>
        <v>2.3186499999999999</v>
      </c>
      <c r="E58" s="141"/>
      <c r="F58" s="146">
        <v>0</v>
      </c>
      <c r="G58" s="147"/>
    </row>
    <row r="59" spans="1:7" ht="15.75" x14ac:dyDescent="0.25">
      <c r="A59" s="130" t="s">
        <v>78</v>
      </c>
      <c r="B59" s="131"/>
      <c r="C59" s="132"/>
      <c r="D59" s="140">
        <f>(4346.7+4188.83)/1000</f>
        <v>8.5355299999999996</v>
      </c>
      <c r="E59" s="141"/>
      <c r="F59" s="146">
        <f>D59*10000</f>
        <v>85355.3</v>
      </c>
      <c r="G59" s="147"/>
    </row>
    <row r="60" spans="1:7" ht="15.75" x14ac:dyDescent="0.25">
      <c r="A60" s="130" t="s">
        <v>79</v>
      </c>
      <c r="B60" s="131"/>
      <c r="C60" s="132"/>
      <c r="D60" s="140">
        <f>(3488.47+2882.24)/1000</f>
        <v>6.370709999999999</v>
      </c>
      <c r="E60" s="141"/>
      <c r="F60" s="146">
        <f t="shared" ref="F60:F61" si="3">D60*10000</f>
        <v>63707.099999999991</v>
      </c>
      <c r="G60" s="147"/>
    </row>
    <row r="61" spans="1:7" ht="15.75" x14ac:dyDescent="0.25">
      <c r="A61" s="130" t="s">
        <v>80</v>
      </c>
      <c r="B61" s="131"/>
      <c r="C61" s="132"/>
      <c r="D61" s="140">
        <f>3/1000</f>
        <v>3.0000000000000001E-3</v>
      </c>
      <c r="E61" s="141"/>
      <c r="F61" s="146">
        <f t="shared" si="3"/>
        <v>30</v>
      </c>
      <c r="G61" s="147"/>
    </row>
    <row r="62" spans="1:7" ht="15.75" x14ac:dyDescent="0.25">
      <c r="A62" s="130" t="s">
        <v>81</v>
      </c>
      <c r="B62" s="131"/>
      <c r="C62" s="132"/>
      <c r="D62" s="140">
        <f>(1037.79+918.74)/1000</f>
        <v>1.9565299999999999</v>
      </c>
      <c r="E62" s="141"/>
      <c r="F62" s="146">
        <v>0</v>
      </c>
      <c r="G62" s="147"/>
    </row>
    <row r="63" spans="1:7" ht="15.75" x14ac:dyDescent="0.25">
      <c r="A63" s="130" t="s">
        <v>82</v>
      </c>
      <c r="B63" s="131"/>
      <c r="C63" s="132"/>
      <c r="D63" s="140">
        <f>(639.39+565.46)/1000</f>
        <v>1.20485</v>
      </c>
      <c r="E63" s="141"/>
      <c r="F63" s="146">
        <f>D63*40000</f>
        <v>48194</v>
      </c>
      <c r="G63" s="147"/>
    </row>
    <row r="64" spans="1:7" ht="15.75" x14ac:dyDescent="0.25">
      <c r="A64" s="130" t="s">
        <v>83</v>
      </c>
      <c r="B64" s="131"/>
      <c r="C64" s="132"/>
      <c r="D64" s="148">
        <f>(3493.34+2998.73)/1000</f>
        <v>6.49207</v>
      </c>
      <c r="E64" s="149"/>
      <c r="F64" s="146">
        <f>D64*5000</f>
        <v>32460.35</v>
      </c>
      <c r="G64" s="147"/>
    </row>
    <row r="65" spans="1:14" ht="15.75" x14ac:dyDescent="0.25">
      <c r="A65" s="130" t="s">
        <v>84</v>
      </c>
      <c r="B65" s="131"/>
      <c r="C65" s="132"/>
      <c r="D65" s="140">
        <f>(3207.64+2924.37)/1000</f>
        <v>6.1320100000000002</v>
      </c>
      <c r="E65" s="141"/>
      <c r="F65" s="146">
        <v>0</v>
      </c>
      <c r="G65" s="147"/>
    </row>
    <row r="66" spans="1:14" ht="15.75" x14ac:dyDescent="0.25">
      <c r="A66" s="130" t="s">
        <v>85</v>
      </c>
      <c r="B66" s="131"/>
      <c r="C66" s="132"/>
      <c r="D66" s="140">
        <f>(5337.5+4772.48)/1000</f>
        <v>10.10998</v>
      </c>
      <c r="E66" s="141"/>
      <c r="F66" s="135">
        <v>0</v>
      </c>
      <c r="G66" s="136"/>
    </row>
    <row r="67" spans="1:14" ht="15.75" x14ac:dyDescent="0.25">
      <c r="A67" s="130" t="s">
        <v>8</v>
      </c>
      <c r="B67" s="131"/>
      <c r="C67" s="132"/>
      <c r="D67" s="140">
        <f>(21536.25+20744.49)/1000</f>
        <v>42.280740000000009</v>
      </c>
      <c r="E67" s="141"/>
      <c r="F67" s="135">
        <v>0</v>
      </c>
      <c r="G67" s="136"/>
    </row>
    <row r="68" spans="1:14" ht="15.75" x14ac:dyDescent="0.25">
      <c r="A68" s="122" t="s">
        <v>44</v>
      </c>
      <c r="B68" s="123"/>
      <c r="C68" s="124"/>
      <c r="D68" s="142">
        <f>SUM(D54:E66)</f>
        <v>86.956249999999983</v>
      </c>
      <c r="E68" s="143"/>
      <c r="F68" s="144">
        <f>SUM(F54:G67)</f>
        <v>405351.36999999994</v>
      </c>
      <c r="G68" s="145"/>
    </row>
    <row r="69" spans="1:14" ht="21" x14ac:dyDescent="0.35">
      <c r="A69" s="139" t="s">
        <v>57</v>
      </c>
      <c r="B69" s="139"/>
      <c r="C69" s="139"/>
      <c r="D69" s="139"/>
      <c r="E69" s="139"/>
      <c r="F69" s="139"/>
      <c r="G69" s="139"/>
    </row>
    <row r="70" spans="1:14" ht="15.75" x14ac:dyDescent="0.25">
      <c r="A70" s="122" t="s">
        <v>0</v>
      </c>
      <c r="B70" s="123"/>
      <c r="C70" s="124"/>
      <c r="D70" s="122" t="s">
        <v>71</v>
      </c>
      <c r="E70" s="124"/>
      <c r="F70" s="127" t="s">
        <v>72</v>
      </c>
      <c r="G70" s="128"/>
      <c r="J70" t="s">
        <v>57</v>
      </c>
    </row>
    <row r="71" spans="1:14" ht="15.75" x14ac:dyDescent="0.25">
      <c r="A71" s="150" t="s">
        <v>73</v>
      </c>
      <c r="B71" s="151"/>
      <c r="C71" s="152"/>
      <c r="D71" s="153">
        <v>1.8491300000000002</v>
      </c>
      <c r="E71" s="154"/>
      <c r="F71" s="155">
        <v>31435.210000000003</v>
      </c>
      <c r="G71" s="156"/>
      <c r="I71" t="s">
        <v>0</v>
      </c>
      <c r="J71" t="s">
        <v>1</v>
      </c>
      <c r="K71" t="s">
        <v>2</v>
      </c>
      <c r="L71" t="s">
        <v>56</v>
      </c>
      <c r="M71" t="s">
        <v>16</v>
      </c>
    </row>
    <row r="72" spans="1:14" ht="15.75" x14ac:dyDescent="0.25">
      <c r="A72" s="150" t="s">
        <v>74</v>
      </c>
      <c r="B72" s="151"/>
      <c r="C72" s="152"/>
      <c r="D72" s="153">
        <v>0.5611799999999999</v>
      </c>
      <c r="E72" s="154"/>
      <c r="F72" s="155">
        <v>0</v>
      </c>
      <c r="G72" s="156"/>
      <c r="I72" t="s">
        <v>3</v>
      </c>
      <c r="J72" s="89">
        <v>1.6750000000000001E-3</v>
      </c>
      <c r="K72" s="89">
        <v>14.596209999999999</v>
      </c>
      <c r="L72" s="89">
        <f>+J72+K72</f>
        <v>14.597885</v>
      </c>
      <c r="M72" s="90">
        <f>+SUM(D76:E77,D79)</f>
        <v>16.27121</v>
      </c>
    </row>
    <row r="73" spans="1:14" ht="15.75" x14ac:dyDescent="0.25">
      <c r="A73" s="150" t="s">
        <v>75</v>
      </c>
      <c r="B73" s="151"/>
      <c r="C73" s="152"/>
      <c r="D73" s="153">
        <v>15.473610000000001</v>
      </c>
      <c r="E73" s="154"/>
      <c r="F73" s="155">
        <v>108315.27</v>
      </c>
      <c r="G73" s="156"/>
      <c r="I73" t="s">
        <v>4</v>
      </c>
      <c r="J73" s="89">
        <v>3.5000000000000001E-3</v>
      </c>
      <c r="K73" s="89">
        <v>0</v>
      </c>
      <c r="L73" s="89">
        <f t="shared" ref="L73:M77" si="4">+J73+K73</f>
        <v>3.5000000000000001E-3</v>
      </c>
      <c r="M73" s="89">
        <f t="shared" si="4"/>
        <v>3.5000000000000001E-3</v>
      </c>
    </row>
    <row r="74" spans="1:14" ht="15.75" x14ac:dyDescent="0.25">
      <c r="A74" s="150" t="s">
        <v>76</v>
      </c>
      <c r="B74" s="151"/>
      <c r="C74" s="152"/>
      <c r="D74" s="153">
        <v>20.48583</v>
      </c>
      <c r="E74" s="154"/>
      <c r="F74" s="155">
        <v>0</v>
      </c>
      <c r="G74" s="156"/>
      <c r="I74" t="s">
        <v>5</v>
      </c>
      <c r="J74" s="89">
        <v>4.6805000000000003</v>
      </c>
      <c r="K74" s="89">
        <v>35.901220000000002</v>
      </c>
      <c r="L74" s="89">
        <f t="shared" si="4"/>
        <v>40.581720000000004</v>
      </c>
      <c r="M74" s="91">
        <f>+SUM(D71:E75)</f>
        <v>40.581719999999997</v>
      </c>
    </row>
    <row r="75" spans="1:14" ht="15.75" x14ac:dyDescent="0.25">
      <c r="A75" s="150" t="s">
        <v>77</v>
      </c>
      <c r="B75" s="151"/>
      <c r="C75" s="152"/>
      <c r="D75" s="153">
        <v>2.2119700000000004</v>
      </c>
      <c r="E75" s="154"/>
      <c r="F75" s="155">
        <v>0</v>
      </c>
      <c r="G75" s="156"/>
      <c r="I75" t="s">
        <v>6</v>
      </c>
      <c r="J75" s="89">
        <v>2.2534999999999998</v>
      </c>
      <c r="K75" s="89">
        <v>8.2731299999999983</v>
      </c>
      <c r="L75" s="89">
        <f t="shared" si="4"/>
        <v>10.526629999999997</v>
      </c>
      <c r="M75" s="90">
        <f>+D83</f>
        <v>10.526630000000001</v>
      </c>
    </row>
    <row r="76" spans="1:14" ht="15.75" x14ac:dyDescent="0.25">
      <c r="A76" s="150" t="s">
        <v>78</v>
      </c>
      <c r="B76" s="151"/>
      <c r="C76" s="152"/>
      <c r="D76" s="153">
        <v>7.8217999999999996</v>
      </c>
      <c r="E76" s="154"/>
      <c r="F76" s="155">
        <v>78218</v>
      </c>
      <c r="G76" s="156"/>
      <c r="I76" t="s">
        <v>7</v>
      </c>
      <c r="J76" s="89">
        <v>1.1695</v>
      </c>
      <c r="K76" s="89">
        <v>12.361360000000001</v>
      </c>
      <c r="L76" s="89">
        <f t="shared" si="4"/>
        <v>13.530860000000001</v>
      </c>
      <c r="M76" s="90">
        <f>+SUM(D80:E82)</f>
        <v>13.530860000000001</v>
      </c>
    </row>
    <row r="77" spans="1:14" ht="15.75" x14ac:dyDescent="0.25">
      <c r="A77" s="150" t="s">
        <v>79</v>
      </c>
      <c r="B77" s="151"/>
      <c r="C77" s="152"/>
      <c r="D77" s="153">
        <v>6.5171599999999996</v>
      </c>
      <c r="E77" s="154"/>
      <c r="F77" s="155">
        <v>65171.6</v>
      </c>
      <c r="G77" s="156"/>
      <c r="I77" t="s">
        <v>8</v>
      </c>
      <c r="J77" s="89">
        <v>1.0105</v>
      </c>
      <c r="K77" s="89">
        <v>36.215060000000001</v>
      </c>
      <c r="L77" s="89">
        <f t="shared" si="4"/>
        <v>37.225560000000002</v>
      </c>
      <c r="M77" s="90">
        <f>+D84</f>
        <v>37.225559999999994</v>
      </c>
    </row>
    <row r="78" spans="1:14" ht="15.75" x14ac:dyDescent="0.25">
      <c r="A78" s="150" t="s">
        <v>80</v>
      </c>
      <c r="B78" s="151"/>
      <c r="C78" s="152"/>
      <c r="D78" s="161">
        <v>3.5000000000000001E-3</v>
      </c>
      <c r="E78" s="162"/>
      <c r="F78" s="155">
        <v>35</v>
      </c>
      <c r="G78" s="156"/>
      <c r="I78" t="s">
        <v>9</v>
      </c>
      <c r="J78" s="89">
        <f>+SUM(J72:J77)</f>
        <v>9.1191750000000003</v>
      </c>
      <c r="K78" s="89">
        <f t="shared" ref="K78:L78" si="5">+SUM(K72:K77)</f>
        <v>107.34698</v>
      </c>
      <c r="L78" s="89">
        <f t="shared" si="5"/>
        <v>116.466155</v>
      </c>
      <c r="M78" s="81">
        <f>+SUM(M72:M77)</f>
        <v>118.13947999999999</v>
      </c>
      <c r="N78" s="81">
        <f>+SUM(D71:E84)</f>
        <v>118.13947999999999</v>
      </c>
    </row>
    <row r="79" spans="1:14" ht="15.75" x14ac:dyDescent="0.25">
      <c r="A79" s="150" t="s">
        <v>81</v>
      </c>
      <c r="B79" s="151"/>
      <c r="C79" s="152"/>
      <c r="D79" s="153">
        <v>1.93225</v>
      </c>
      <c r="E79" s="154"/>
      <c r="F79" s="155">
        <v>0</v>
      </c>
      <c r="G79" s="156"/>
    </row>
    <row r="80" spans="1:14" ht="15.75" x14ac:dyDescent="0.25">
      <c r="A80" s="150" t="s">
        <v>82</v>
      </c>
      <c r="B80" s="151"/>
      <c r="C80" s="152"/>
      <c r="D80" s="153">
        <v>1.05949</v>
      </c>
      <c r="E80" s="154"/>
      <c r="F80" s="155">
        <v>42379.6</v>
      </c>
      <c r="G80" s="156"/>
    </row>
    <row r="81" spans="1:7" ht="15.75" x14ac:dyDescent="0.25">
      <c r="A81" s="150" t="s">
        <v>83</v>
      </c>
      <c r="B81" s="151"/>
      <c r="C81" s="152"/>
      <c r="D81" s="159">
        <v>6.6366099999999992</v>
      </c>
      <c r="E81" s="160"/>
      <c r="F81" s="155">
        <v>33183.049999999996</v>
      </c>
      <c r="G81" s="156"/>
    </row>
    <row r="82" spans="1:7" ht="15.75" x14ac:dyDescent="0.25">
      <c r="A82" s="150" t="s">
        <v>84</v>
      </c>
      <c r="B82" s="151"/>
      <c r="C82" s="152"/>
      <c r="D82" s="153">
        <v>5.8347600000000002</v>
      </c>
      <c r="E82" s="154"/>
      <c r="F82" s="155">
        <v>0</v>
      </c>
      <c r="G82" s="156"/>
    </row>
    <row r="83" spans="1:7" ht="15.75" x14ac:dyDescent="0.25">
      <c r="A83" s="150" t="s">
        <v>85</v>
      </c>
      <c r="B83" s="151"/>
      <c r="C83" s="152"/>
      <c r="D83" s="153">
        <v>10.526630000000001</v>
      </c>
      <c r="E83" s="154"/>
      <c r="F83" s="155">
        <v>0</v>
      </c>
      <c r="G83" s="156"/>
    </row>
    <row r="84" spans="1:7" ht="15.75" x14ac:dyDescent="0.25">
      <c r="A84" s="150" t="s">
        <v>8</v>
      </c>
      <c r="B84" s="151"/>
      <c r="C84" s="152"/>
      <c r="D84" s="153">
        <v>37.225559999999994</v>
      </c>
      <c r="E84" s="154"/>
      <c r="F84" s="155">
        <v>0</v>
      </c>
      <c r="G84" s="156"/>
    </row>
    <row r="85" spans="1:7" ht="15.75" x14ac:dyDescent="0.25">
      <c r="A85" s="122" t="s">
        <v>44</v>
      </c>
      <c r="B85" s="123"/>
      <c r="C85" s="124"/>
      <c r="D85" s="142">
        <f>SUM(D71:E83)</f>
        <v>80.913920000000005</v>
      </c>
      <c r="E85" s="143"/>
      <c r="F85" s="157">
        <f>SUM(F71:G84)</f>
        <v>358737.73</v>
      </c>
      <c r="G85" s="158"/>
    </row>
    <row r="86" spans="1:7" ht="21" x14ac:dyDescent="0.35">
      <c r="A86" s="139" t="s">
        <v>61</v>
      </c>
      <c r="B86" s="139"/>
      <c r="C86" s="139"/>
      <c r="D86" s="139"/>
      <c r="E86" s="139"/>
      <c r="F86" s="139"/>
      <c r="G86" s="139"/>
    </row>
    <row r="87" spans="1:7" ht="15.75" x14ac:dyDescent="0.25">
      <c r="A87" s="122" t="s">
        <v>0</v>
      </c>
      <c r="B87" s="123"/>
      <c r="C87" s="124"/>
      <c r="D87" s="122" t="s">
        <v>71</v>
      </c>
      <c r="E87" s="124"/>
      <c r="F87" s="127" t="s">
        <v>72</v>
      </c>
      <c r="G87" s="128"/>
    </row>
    <row r="88" spans="1:7" ht="15.75" x14ac:dyDescent="0.25">
      <c r="A88" s="130" t="s">
        <v>73</v>
      </c>
      <c r="B88" s="131"/>
      <c r="C88" s="132"/>
      <c r="D88" s="140">
        <v>1.2467900000000001</v>
      </c>
      <c r="E88" s="141"/>
      <c r="F88" s="155">
        <v>21195.43</v>
      </c>
      <c r="G88" s="156"/>
    </row>
    <row r="89" spans="1:7" ht="15.75" x14ac:dyDescent="0.25">
      <c r="A89" s="130" t="s">
        <v>74</v>
      </c>
      <c r="B89" s="131"/>
      <c r="C89" s="132"/>
      <c r="D89" s="140">
        <v>0.52071000000000001</v>
      </c>
      <c r="E89" s="141"/>
      <c r="F89" s="155">
        <v>0</v>
      </c>
      <c r="G89" s="156"/>
    </row>
    <row r="90" spans="1:7" ht="15.75" x14ac:dyDescent="0.25">
      <c r="A90" s="130" t="s">
        <v>75</v>
      </c>
      <c r="B90" s="131"/>
      <c r="C90" s="132"/>
      <c r="D90" s="140">
        <v>18.967739999999999</v>
      </c>
      <c r="E90" s="141"/>
      <c r="F90" s="155">
        <v>132774.18</v>
      </c>
      <c r="G90" s="156"/>
    </row>
    <row r="91" spans="1:7" ht="15.75" x14ac:dyDescent="0.25">
      <c r="A91" s="130" t="s">
        <v>76</v>
      </c>
      <c r="B91" s="131"/>
      <c r="C91" s="132"/>
      <c r="D91" s="140">
        <v>21.73704</v>
      </c>
      <c r="E91" s="141"/>
      <c r="F91" s="155">
        <v>0</v>
      </c>
      <c r="G91" s="156"/>
    </row>
    <row r="92" spans="1:7" ht="15.75" x14ac:dyDescent="0.25">
      <c r="A92" s="130" t="s">
        <v>77</v>
      </c>
      <c r="B92" s="131"/>
      <c r="C92" s="132"/>
      <c r="D92" s="140">
        <v>2.0928599999999999</v>
      </c>
      <c r="E92" s="141"/>
      <c r="F92" s="155">
        <v>0</v>
      </c>
      <c r="G92" s="156"/>
    </row>
    <row r="93" spans="1:7" ht="15.75" x14ac:dyDescent="0.25">
      <c r="A93" s="130" t="s">
        <v>78</v>
      </c>
      <c r="B93" s="131"/>
      <c r="C93" s="132"/>
      <c r="D93" s="140">
        <v>8.6274300000000004</v>
      </c>
      <c r="E93" s="141"/>
      <c r="F93" s="155">
        <v>86274.3</v>
      </c>
      <c r="G93" s="156"/>
    </row>
    <row r="94" spans="1:7" ht="15.75" x14ac:dyDescent="0.25">
      <c r="A94" s="130" t="s">
        <v>79</v>
      </c>
      <c r="B94" s="131"/>
      <c r="C94" s="132"/>
      <c r="D94" s="140">
        <v>6.6403899999999991</v>
      </c>
      <c r="E94" s="141"/>
      <c r="F94" s="155">
        <v>66403.899999999994</v>
      </c>
      <c r="G94" s="156"/>
    </row>
    <row r="95" spans="1:7" ht="15.75" x14ac:dyDescent="0.25">
      <c r="A95" s="130" t="s">
        <v>80</v>
      </c>
      <c r="B95" s="131"/>
      <c r="C95" s="132"/>
      <c r="D95" s="163">
        <v>3.5499999999999997E-2</v>
      </c>
      <c r="E95" s="164"/>
      <c r="F95" s="155">
        <v>354.99999999999994</v>
      </c>
      <c r="G95" s="156"/>
    </row>
    <row r="96" spans="1:7" ht="15.75" x14ac:dyDescent="0.25">
      <c r="A96" s="130" t="s">
        <v>81</v>
      </c>
      <c r="B96" s="131"/>
      <c r="C96" s="132"/>
      <c r="D96" s="140">
        <v>1.5673499999999998</v>
      </c>
      <c r="E96" s="141"/>
      <c r="F96" s="155">
        <v>0</v>
      </c>
      <c r="G96" s="156"/>
    </row>
    <row r="97" spans="1:7" ht="15.75" x14ac:dyDescent="0.25">
      <c r="A97" s="130" t="s">
        <v>82</v>
      </c>
      <c r="B97" s="131"/>
      <c r="C97" s="132"/>
      <c r="D97" s="140">
        <v>0.93941999999999992</v>
      </c>
      <c r="E97" s="141"/>
      <c r="F97" s="155">
        <v>37576.799999999996</v>
      </c>
      <c r="G97" s="156"/>
    </row>
    <row r="98" spans="1:7" ht="15.75" x14ac:dyDescent="0.25">
      <c r="A98" s="130" t="s">
        <v>83</v>
      </c>
      <c r="B98" s="131"/>
      <c r="C98" s="132"/>
      <c r="D98" s="148">
        <v>7.1473300000000002</v>
      </c>
      <c r="E98" s="149"/>
      <c r="F98" s="155">
        <v>35736.65</v>
      </c>
      <c r="G98" s="156"/>
    </row>
    <row r="99" spans="1:7" ht="15.75" x14ac:dyDescent="0.25">
      <c r="A99" s="130" t="s">
        <v>84</v>
      </c>
      <c r="B99" s="131"/>
      <c r="C99" s="132"/>
      <c r="D99" s="140">
        <v>6.6100099999999999</v>
      </c>
      <c r="E99" s="141"/>
      <c r="F99" s="155">
        <v>0</v>
      </c>
      <c r="G99" s="156"/>
    </row>
    <row r="100" spans="1:7" ht="15.75" x14ac:dyDescent="0.25">
      <c r="A100" s="130" t="s">
        <v>85</v>
      </c>
      <c r="B100" s="131"/>
      <c r="C100" s="132"/>
      <c r="D100" s="140">
        <v>10.51323</v>
      </c>
      <c r="E100" s="141"/>
      <c r="F100" s="155">
        <v>0</v>
      </c>
      <c r="G100" s="156"/>
    </row>
    <row r="101" spans="1:7" ht="15.75" x14ac:dyDescent="0.25">
      <c r="A101" s="130" t="s">
        <v>8</v>
      </c>
      <c r="B101" s="131"/>
      <c r="C101" s="132"/>
      <c r="D101" s="140">
        <v>42.813699999999997</v>
      </c>
      <c r="E101" s="141"/>
      <c r="F101" s="155">
        <v>0</v>
      </c>
      <c r="G101" s="156"/>
    </row>
    <row r="102" spans="1:7" ht="15.75" x14ac:dyDescent="0.25">
      <c r="A102" s="122" t="s">
        <v>44</v>
      </c>
      <c r="B102" s="123"/>
      <c r="C102" s="124"/>
      <c r="D102" s="142">
        <f>SUM(D88:E100)</f>
        <v>86.645800000000008</v>
      </c>
      <c r="E102" s="143"/>
      <c r="F102" s="157">
        <f>SUM(F88:G101)</f>
        <v>380316.25999999995</v>
      </c>
      <c r="G102" s="158"/>
    </row>
    <row r="103" spans="1:7" ht="21" x14ac:dyDescent="0.35">
      <c r="A103" s="139" t="s">
        <v>63</v>
      </c>
      <c r="B103" s="139"/>
      <c r="C103" s="139"/>
      <c r="D103" s="139"/>
      <c r="E103" s="139"/>
      <c r="F103" s="139"/>
      <c r="G103" s="139"/>
    </row>
    <row r="104" spans="1:7" ht="15.75" x14ac:dyDescent="0.25">
      <c r="A104" s="122" t="s">
        <v>0</v>
      </c>
      <c r="B104" s="123"/>
      <c r="C104" s="124"/>
      <c r="D104" s="122" t="s">
        <v>71</v>
      </c>
      <c r="E104" s="124"/>
      <c r="F104" s="127" t="s">
        <v>72</v>
      </c>
      <c r="G104" s="128"/>
    </row>
    <row r="105" spans="1:7" ht="15.75" x14ac:dyDescent="0.25">
      <c r="A105" s="130" t="s">
        <v>73</v>
      </c>
      <c r="B105" s="131"/>
      <c r="C105" s="132"/>
      <c r="D105" s="140">
        <v>1.65076</v>
      </c>
      <c r="E105" s="141"/>
      <c r="F105" s="155">
        <v>28062.92</v>
      </c>
      <c r="G105" s="156"/>
    </row>
    <row r="106" spans="1:7" ht="15.75" x14ac:dyDescent="0.25">
      <c r="A106" s="130" t="s">
        <v>74</v>
      </c>
      <c r="B106" s="131"/>
      <c r="C106" s="132"/>
      <c r="D106" s="140">
        <v>0.40648000000000001</v>
      </c>
      <c r="E106" s="141"/>
      <c r="F106" s="155">
        <v>0</v>
      </c>
      <c r="G106" s="156"/>
    </row>
    <row r="107" spans="1:7" ht="15.75" x14ac:dyDescent="0.25">
      <c r="A107" s="130" t="s">
        <v>75</v>
      </c>
      <c r="B107" s="131"/>
      <c r="C107" s="132"/>
      <c r="D107" s="140">
        <v>18.217220000000001</v>
      </c>
      <c r="E107" s="141"/>
      <c r="F107" s="155">
        <v>127520.54</v>
      </c>
      <c r="G107" s="156"/>
    </row>
    <row r="108" spans="1:7" ht="15.75" x14ac:dyDescent="0.25">
      <c r="A108" s="130" t="s">
        <v>76</v>
      </c>
      <c r="B108" s="131"/>
      <c r="C108" s="132"/>
      <c r="D108" s="140">
        <v>21.446669999999997</v>
      </c>
      <c r="E108" s="141"/>
      <c r="F108" s="155">
        <v>0</v>
      </c>
      <c r="G108" s="156"/>
    </row>
    <row r="109" spans="1:7" ht="15.75" x14ac:dyDescent="0.25">
      <c r="A109" s="130" t="s">
        <v>77</v>
      </c>
      <c r="B109" s="131"/>
      <c r="C109" s="132"/>
      <c r="D109" s="140">
        <v>2.1522899999999998</v>
      </c>
      <c r="E109" s="141"/>
      <c r="F109" s="155">
        <v>0</v>
      </c>
      <c r="G109" s="156"/>
    </row>
    <row r="110" spans="1:7" ht="15.75" x14ac:dyDescent="0.25">
      <c r="A110" s="130" t="s">
        <v>78</v>
      </c>
      <c r="B110" s="131"/>
      <c r="C110" s="132"/>
      <c r="D110" s="140">
        <v>7.05654</v>
      </c>
      <c r="E110" s="141"/>
      <c r="F110" s="155">
        <v>70565.399999999994</v>
      </c>
      <c r="G110" s="156"/>
    </row>
    <row r="111" spans="1:7" ht="15.75" x14ac:dyDescent="0.25">
      <c r="A111" s="130" t="s">
        <v>79</v>
      </c>
      <c r="B111" s="131"/>
      <c r="C111" s="132"/>
      <c r="D111" s="140">
        <v>6.4479800000000003</v>
      </c>
      <c r="E111" s="141"/>
      <c r="F111" s="155">
        <v>64479.799999999996</v>
      </c>
      <c r="G111" s="156"/>
    </row>
    <row r="112" spans="1:7" ht="15.75" x14ac:dyDescent="0.25">
      <c r="A112" s="130" t="s">
        <v>80</v>
      </c>
      <c r="B112" s="131"/>
      <c r="C112" s="132"/>
      <c r="D112" s="163">
        <v>0</v>
      </c>
      <c r="E112" s="164"/>
      <c r="F112" s="155">
        <v>0</v>
      </c>
      <c r="G112" s="156"/>
    </row>
    <row r="113" spans="1:7" ht="15.75" x14ac:dyDescent="0.25">
      <c r="A113" s="130" t="s">
        <v>81</v>
      </c>
      <c r="B113" s="131"/>
      <c r="C113" s="132"/>
      <c r="D113" s="140">
        <v>2.0479799999999999</v>
      </c>
      <c r="E113" s="141"/>
      <c r="F113" s="155">
        <v>0</v>
      </c>
      <c r="G113" s="156"/>
    </row>
    <row r="114" spans="1:7" ht="15.75" x14ac:dyDescent="0.25">
      <c r="A114" s="130" t="s">
        <v>82</v>
      </c>
      <c r="B114" s="131"/>
      <c r="C114" s="132"/>
      <c r="D114" s="140">
        <v>1.1383099999999999</v>
      </c>
      <c r="E114" s="141"/>
      <c r="F114" s="155">
        <v>45532.399999999994</v>
      </c>
      <c r="G114" s="156"/>
    </row>
    <row r="115" spans="1:7" ht="15.75" x14ac:dyDescent="0.25">
      <c r="A115" s="130" t="s">
        <v>83</v>
      </c>
      <c r="B115" s="131"/>
      <c r="C115" s="132"/>
      <c r="D115" s="148">
        <v>6.0438899999999993</v>
      </c>
      <c r="E115" s="149"/>
      <c r="F115" s="155">
        <v>30219.449999999997</v>
      </c>
      <c r="G115" s="156"/>
    </row>
    <row r="116" spans="1:7" ht="15.75" x14ac:dyDescent="0.25">
      <c r="A116" s="130" t="s">
        <v>84</v>
      </c>
      <c r="B116" s="131"/>
      <c r="C116" s="132"/>
      <c r="D116" s="140">
        <v>5.9161599999999996</v>
      </c>
      <c r="E116" s="141"/>
      <c r="F116" s="155">
        <v>0</v>
      </c>
      <c r="G116" s="156"/>
    </row>
    <row r="117" spans="1:7" ht="15.75" x14ac:dyDescent="0.25">
      <c r="A117" s="130" t="s">
        <v>85</v>
      </c>
      <c r="B117" s="131"/>
      <c r="C117" s="132"/>
      <c r="D117" s="140">
        <v>8.2550900000000009</v>
      </c>
      <c r="E117" s="141"/>
      <c r="F117" s="155">
        <v>0</v>
      </c>
      <c r="G117" s="156"/>
    </row>
    <row r="118" spans="1:7" ht="15.75" x14ac:dyDescent="0.25">
      <c r="A118" s="130" t="s">
        <v>8</v>
      </c>
      <c r="B118" s="131"/>
      <c r="C118" s="132"/>
      <c r="D118" s="140">
        <v>42.948630000000001</v>
      </c>
      <c r="E118" s="141"/>
      <c r="F118" s="155">
        <v>0</v>
      </c>
      <c r="G118" s="156"/>
    </row>
    <row r="119" spans="1:7" ht="15.75" x14ac:dyDescent="0.25">
      <c r="A119" s="122" t="s">
        <v>44</v>
      </c>
      <c r="B119" s="123"/>
      <c r="C119" s="124"/>
      <c r="D119" s="142">
        <f>SUM(D105:E117)</f>
        <v>80.77937</v>
      </c>
      <c r="E119" s="143"/>
      <c r="F119" s="157">
        <f>SUM(F105:G118)</f>
        <v>366380.50999999995</v>
      </c>
      <c r="G119" s="158"/>
    </row>
    <row r="120" spans="1:7" ht="21" x14ac:dyDescent="0.35">
      <c r="A120" s="133" t="s">
        <v>70</v>
      </c>
      <c r="B120" s="133"/>
      <c r="C120" s="133"/>
      <c r="D120" s="133"/>
      <c r="E120" s="133"/>
      <c r="F120" s="133"/>
      <c r="G120" s="133"/>
    </row>
    <row r="121" spans="1:7" ht="15.75" x14ac:dyDescent="0.25">
      <c r="A121" s="122" t="s">
        <v>0</v>
      </c>
      <c r="B121" s="123"/>
      <c r="C121" s="124"/>
      <c r="D121" s="122" t="s">
        <v>71</v>
      </c>
      <c r="E121" s="124"/>
      <c r="F121" s="127" t="s">
        <v>72</v>
      </c>
      <c r="G121" s="128"/>
    </row>
    <row r="122" spans="1:7" ht="15.75" x14ac:dyDescent="0.25">
      <c r="A122" s="130" t="s">
        <v>73</v>
      </c>
      <c r="B122" s="131"/>
      <c r="C122" s="132"/>
      <c r="D122" s="140">
        <v>1.6271100000000001</v>
      </c>
      <c r="E122" s="141"/>
      <c r="F122" s="165">
        <v>27660.87</v>
      </c>
      <c r="G122" s="166"/>
    </row>
    <row r="123" spans="1:7" ht="15.75" x14ac:dyDescent="0.25">
      <c r="A123" s="130" t="s">
        <v>74</v>
      </c>
      <c r="B123" s="131"/>
      <c r="C123" s="132"/>
      <c r="D123" s="140">
        <v>0.45200999999999997</v>
      </c>
      <c r="E123" s="141"/>
      <c r="F123" s="165">
        <v>0</v>
      </c>
      <c r="G123" s="166"/>
    </row>
    <row r="124" spans="1:7" ht="15.75" x14ac:dyDescent="0.25">
      <c r="A124" s="130" t="s">
        <v>75</v>
      </c>
      <c r="B124" s="131"/>
      <c r="C124" s="132"/>
      <c r="D124" s="140">
        <v>22.894779999999997</v>
      </c>
      <c r="E124" s="141"/>
      <c r="F124" s="165">
        <v>160263.46</v>
      </c>
      <c r="G124" s="166"/>
    </row>
    <row r="125" spans="1:7" ht="15.75" x14ac:dyDescent="0.25">
      <c r="A125" s="130" t="s">
        <v>76</v>
      </c>
      <c r="B125" s="131"/>
      <c r="C125" s="132"/>
      <c r="D125" s="140">
        <v>26.661000000000001</v>
      </c>
      <c r="E125" s="141"/>
      <c r="F125" s="165">
        <v>0</v>
      </c>
      <c r="G125" s="166"/>
    </row>
    <row r="126" spans="1:7" ht="15.75" x14ac:dyDescent="0.25">
      <c r="A126" s="130" t="s">
        <v>77</v>
      </c>
      <c r="B126" s="131"/>
      <c r="C126" s="132"/>
      <c r="D126" s="140">
        <v>1.9886900000000001</v>
      </c>
      <c r="E126" s="141"/>
      <c r="F126" s="165">
        <v>0</v>
      </c>
      <c r="G126" s="166"/>
    </row>
    <row r="127" spans="1:7" ht="15.75" x14ac:dyDescent="0.25">
      <c r="A127" s="130" t="s">
        <v>78</v>
      </c>
      <c r="B127" s="131"/>
      <c r="C127" s="132"/>
      <c r="D127" s="140">
        <v>8.8881599999999992</v>
      </c>
      <c r="E127" s="141"/>
      <c r="F127" s="165">
        <v>88881.599999999991</v>
      </c>
      <c r="G127" s="166"/>
    </row>
    <row r="128" spans="1:7" ht="15.75" x14ac:dyDescent="0.25">
      <c r="A128" s="130" t="s">
        <v>79</v>
      </c>
      <c r="B128" s="131"/>
      <c r="C128" s="132"/>
      <c r="D128" s="140">
        <v>8.2353100000000001</v>
      </c>
      <c r="E128" s="141"/>
      <c r="F128" s="165">
        <v>82353.100000000006</v>
      </c>
      <c r="G128" s="166"/>
    </row>
    <row r="129" spans="1:7" ht="15.75" x14ac:dyDescent="0.25">
      <c r="A129" s="130" t="s">
        <v>80</v>
      </c>
      <c r="B129" s="131"/>
      <c r="C129" s="132"/>
      <c r="D129" s="163">
        <v>0.1134</v>
      </c>
      <c r="E129" s="164"/>
      <c r="F129" s="165">
        <v>1134</v>
      </c>
      <c r="G129" s="166"/>
    </row>
    <row r="130" spans="1:7" ht="15.75" x14ac:dyDescent="0.25">
      <c r="A130" s="130" t="s">
        <v>81</v>
      </c>
      <c r="B130" s="131"/>
      <c r="C130" s="132"/>
      <c r="D130" s="140">
        <v>4.1352799999999998</v>
      </c>
      <c r="E130" s="141"/>
      <c r="F130" s="165">
        <v>0</v>
      </c>
      <c r="G130" s="166"/>
    </row>
    <row r="131" spans="1:7" ht="15.75" x14ac:dyDescent="0.25">
      <c r="A131" s="130" t="s">
        <v>82</v>
      </c>
      <c r="B131" s="131"/>
      <c r="C131" s="132"/>
      <c r="D131" s="140">
        <v>1.3256100000000002</v>
      </c>
      <c r="E131" s="141"/>
      <c r="F131" s="165">
        <v>53024.400000000009</v>
      </c>
      <c r="G131" s="166"/>
    </row>
    <row r="132" spans="1:7" ht="15.75" x14ac:dyDescent="0.25">
      <c r="A132" s="130" t="s">
        <v>83</v>
      </c>
      <c r="B132" s="131"/>
      <c r="C132" s="132"/>
      <c r="D132" s="148">
        <v>7.448129999999999</v>
      </c>
      <c r="E132" s="149"/>
      <c r="F132" s="165">
        <v>37240.649999999994</v>
      </c>
      <c r="G132" s="166"/>
    </row>
    <row r="133" spans="1:7" ht="15.75" x14ac:dyDescent="0.25">
      <c r="A133" s="130" t="s">
        <v>84</v>
      </c>
      <c r="B133" s="131"/>
      <c r="C133" s="132"/>
      <c r="D133" s="140">
        <v>8.00563</v>
      </c>
      <c r="E133" s="141"/>
      <c r="F133" s="165">
        <v>0</v>
      </c>
      <c r="G133" s="166"/>
    </row>
    <row r="134" spans="1:7" ht="15.75" x14ac:dyDescent="0.25">
      <c r="A134" s="130" t="s">
        <v>85</v>
      </c>
      <c r="B134" s="131"/>
      <c r="C134" s="132"/>
      <c r="D134" s="140">
        <v>12.235520000000001</v>
      </c>
      <c r="E134" s="141"/>
      <c r="F134" s="165">
        <v>0</v>
      </c>
      <c r="G134" s="166"/>
    </row>
    <row r="135" spans="1:7" ht="15.75" x14ac:dyDescent="0.25">
      <c r="A135" s="130" t="s">
        <v>8</v>
      </c>
      <c r="B135" s="131"/>
      <c r="C135" s="132"/>
      <c r="D135" s="140">
        <v>43.484780000000001</v>
      </c>
      <c r="E135" s="141"/>
      <c r="F135" s="165">
        <v>0</v>
      </c>
      <c r="G135" s="166"/>
    </row>
    <row r="136" spans="1:7" ht="15.75" x14ac:dyDescent="0.25">
      <c r="A136" s="122" t="s">
        <v>44</v>
      </c>
      <c r="B136" s="123"/>
      <c r="C136" s="124"/>
      <c r="D136" s="142">
        <f>SUM(D122:E134)</f>
        <v>104.01062999999999</v>
      </c>
      <c r="E136" s="143"/>
      <c r="F136" s="157">
        <f>SUM(F122:G135)</f>
        <v>450558.08000000007</v>
      </c>
      <c r="G136" s="158"/>
    </row>
    <row r="137" spans="1:7" ht="21" x14ac:dyDescent="0.35">
      <c r="A137" s="133" t="s">
        <v>117</v>
      </c>
      <c r="B137" s="133"/>
      <c r="C137" s="133"/>
      <c r="D137" s="133"/>
      <c r="E137" s="133"/>
      <c r="F137" s="133"/>
      <c r="G137" s="133"/>
    </row>
    <row r="138" spans="1:7" ht="15.75" x14ac:dyDescent="0.25">
      <c r="A138" s="122" t="s">
        <v>0</v>
      </c>
      <c r="B138" s="123"/>
      <c r="C138" s="124"/>
      <c r="D138" s="122" t="s">
        <v>71</v>
      </c>
      <c r="E138" s="124"/>
      <c r="F138" s="127" t="s">
        <v>72</v>
      </c>
      <c r="G138" s="128"/>
    </row>
    <row r="139" spans="1:7" ht="15.75" x14ac:dyDescent="0.25">
      <c r="A139" s="130" t="s">
        <v>73</v>
      </c>
      <c r="B139" s="131"/>
      <c r="C139" s="132"/>
      <c r="D139" s="140">
        <v>1.04891</v>
      </c>
      <c r="E139" s="141"/>
      <c r="F139" s="167">
        <v>17831.47</v>
      </c>
      <c r="G139" s="168"/>
    </row>
    <row r="140" spans="1:7" ht="15.75" x14ac:dyDescent="0.25">
      <c r="A140" s="130" t="s">
        <v>74</v>
      </c>
      <c r="B140" s="131"/>
      <c r="C140" s="132"/>
      <c r="D140" s="140">
        <v>0.51175000000000004</v>
      </c>
      <c r="E140" s="141"/>
      <c r="F140" s="167">
        <v>0</v>
      </c>
      <c r="G140" s="168"/>
    </row>
    <row r="141" spans="1:7" ht="15.75" x14ac:dyDescent="0.25">
      <c r="A141" s="130" t="s">
        <v>75</v>
      </c>
      <c r="B141" s="131"/>
      <c r="C141" s="132"/>
      <c r="D141" s="140">
        <v>18.510349999999999</v>
      </c>
      <c r="E141" s="141"/>
      <c r="F141" s="167">
        <v>129572.45</v>
      </c>
      <c r="G141" s="168"/>
    </row>
    <row r="142" spans="1:7" ht="15.75" x14ac:dyDescent="0.25">
      <c r="A142" s="130" t="s">
        <v>76</v>
      </c>
      <c r="B142" s="131"/>
      <c r="C142" s="132"/>
      <c r="D142" s="140">
        <v>22.814070000000001</v>
      </c>
      <c r="E142" s="141"/>
      <c r="F142" s="167">
        <v>0</v>
      </c>
      <c r="G142" s="168"/>
    </row>
    <row r="143" spans="1:7" ht="15.75" x14ac:dyDescent="0.25">
      <c r="A143" s="130" t="s">
        <v>77</v>
      </c>
      <c r="B143" s="131"/>
      <c r="C143" s="132"/>
      <c r="D143" s="140">
        <v>1.94797</v>
      </c>
      <c r="E143" s="141"/>
      <c r="F143" s="167">
        <v>0</v>
      </c>
      <c r="G143" s="168"/>
    </row>
    <row r="144" spans="1:7" ht="15.75" x14ac:dyDescent="0.25">
      <c r="A144" s="130" t="s">
        <v>78</v>
      </c>
      <c r="B144" s="131"/>
      <c r="C144" s="132"/>
      <c r="D144" s="140">
        <v>8.0064799999999998</v>
      </c>
      <c r="E144" s="141"/>
      <c r="F144" s="167">
        <v>80064.800000000003</v>
      </c>
      <c r="G144" s="168"/>
    </row>
    <row r="145" spans="1:7" ht="15.75" x14ac:dyDescent="0.25">
      <c r="A145" s="130" t="s">
        <v>79</v>
      </c>
      <c r="B145" s="131"/>
      <c r="C145" s="132"/>
      <c r="D145" s="140">
        <v>5.7589700000000006</v>
      </c>
      <c r="E145" s="141"/>
      <c r="F145" s="167">
        <v>57589.700000000004</v>
      </c>
      <c r="G145" s="168"/>
    </row>
    <row r="146" spans="1:7" ht="15.75" x14ac:dyDescent="0.25">
      <c r="A146" s="130" t="s">
        <v>80</v>
      </c>
      <c r="B146" s="131"/>
      <c r="C146" s="132"/>
      <c r="D146" s="163">
        <v>4.2500000000000003E-2</v>
      </c>
      <c r="E146" s="164"/>
      <c r="F146" s="167">
        <v>425.00000000000006</v>
      </c>
      <c r="G146" s="168"/>
    </row>
    <row r="147" spans="1:7" ht="15.75" x14ac:dyDescent="0.25">
      <c r="A147" s="130" t="s">
        <v>81</v>
      </c>
      <c r="B147" s="131"/>
      <c r="C147" s="132"/>
      <c r="D147" s="140">
        <v>3.4100799999999998</v>
      </c>
      <c r="E147" s="141"/>
      <c r="F147" s="167">
        <v>0</v>
      </c>
      <c r="G147" s="168"/>
    </row>
    <row r="148" spans="1:7" ht="15.75" x14ac:dyDescent="0.25">
      <c r="A148" s="130" t="s">
        <v>82</v>
      </c>
      <c r="B148" s="131"/>
      <c r="C148" s="132"/>
      <c r="D148" s="140">
        <v>0.80892000000000008</v>
      </c>
      <c r="E148" s="141"/>
      <c r="F148" s="167">
        <v>32356.800000000003</v>
      </c>
      <c r="G148" s="168"/>
    </row>
    <row r="149" spans="1:7" ht="15.75" x14ac:dyDescent="0.25">
      <c r="A149" s="130" t="s">
        <v>83</v>
      </c>
      <c r="B149" s="131"/>
      <c r="C149" s="132"/>
      <c r="D149" s="148">
        <v>6.1298700000000004</v>
      </c>
      <c r="E149" s="149"/>
      <c r="F149" s="167">
        <v>30649.350000000002</v>
      </c>
      <c r="G149" s="168"/>
    </row>
    <row r="150" spans="1:7" ht="15.75" x14ac:dyDescent="0.25">
      <c r="A150" s="130" t="s">
        <v>84</v>
      </c>
      <c r="B150" s="131"/>
      <c r="C150" s="132"/>
      <c r="D150" s="140">
        <v>6.0158800000000001</v>
      </c>
      <c r="E150" s="141"/>
      <c r="F150" s="167">
        <v>0</v>
      </c>
      <c r="G150" s="168"/>
    </row>
    <row r="151" spans="1:7" ht="15.75" x14ac:dyDescent="0.25">
      <c r="A151" s="130" t="s">
        <v>85</v>
      </c>
      <c r="B151" s="131"/>
      <c r="C151" s="132"/>
      <c r="D151" s="140">
        <v>10.634930000000001</v>
      </c>
      <c r="E151" s="141"/>
      <c r="F151" s="167">
        <v>0</v>
      </c>
      <c r="G151" s="168"/>
    </row>
    <row r="152" spans="1:7" ht="15.75" x14ac:dyDescent="0.25">
      <c r="A152" s="130" t="s">
        <v>8</v>
      </c>
      <c r="B152" s="131"/>
      <c r="C152" s="132"/>
      <c r="D152" s="140">
        <v>45.346830000000004</v>
      </c>
      <c r="E152" s="141"/>
      <c r="F152" s="167">
        <v>0</v>
      </c>
      <c r="G152" s="168"/>
    </row>
    <row r="153" spans="1:7" ht="15.75" x14ac:dyDescent="0.25">
      <c r="A153" s="122" t="s">
        <v>44</v>
      </c>
      <c r="B153" s="123"/>
      <c r="C153" s="124"/>
      <c r="D153" s="142">
        <f>SUM(D139:E151)</f>
        <v>85.640679999999989</v>
      </c>
      <c r="E153" s="143"/>
      <c r="F153" s="157">
        <f>SUM(F139:G152)</f>
        <v>348489.56999999995</v>
      </c>
      <c r="G153" s="158"/>
    </row>
    <row r="154" spans="1:7" ht="21" x14ac:dyDescent="0.35">
      <c r="A154" s="133" t="s">
        <v>119</v>
      </c>
      <c r="B154" s="133"/>
      <c r="C154" s="133"/>
      <c r="D154" s="133"/>
      <c r="E154" s="133"/>
      <c r="F154" s="133"/>
      <c r="G154" s="133"/>
    </row>
    <row r="155" spans="1:7" ht="15.75" x14ac:dyDescent="0.25">
      <c r="A155" s="122" t="s">
        <v>0</v>
      </c>
      <c r="B155" s="123"/>
      <c r="C155" s="124"/>
      <c r="D155" s="122" t="s">
        <v>71</v>
      </c>
      <c r="E155" s="124"/>
      <c r="F155" s="127" t="s">
        <v>72</v>
      </c>
      <c r="G155" s="128"/>
    </row>
    <row r="156" spans="1:7" ht="15.75" x14ac:dyDescent="0.25">
      <c r="A156" s="130" t="s">
        <v>73</v>
      </c>
      <c r="B156" s="131"/>
      <c r="C156" s="132"/>
      <c r="D156" s="140">
        <v>3.12026</v>
      </c>
      <c r="E156" s="141"/>
      <c r="F156" s="169">
        <v>53044.42</v>
      </c>
      <c r="G156" s="170"/>
    </row>
    <row r="157" spans="1:7" ht="15.75" x14ac:dyDescent="0.25">
      <c r="A157" s="130" t="s">
        <v>74</v>
      </c>
      <c r="B157" s="131"/>
      <c r="C157" s="132"/>
      <c r="D157" s="140">
        <v>0.69756999999999991</v>
      </c>
      <c r="E157" s="141"/>
      <c r="F157" s="169">
        <v>0</v>
      </c>
      <c r="G157" s="170"/>
    </row>
    <row r="158" spans="1:7" ht="15.75" x14ac:dyDescent="0.25">
      <c r="A158" s="130" t="s">
        <v>75</v>
      </c>
      <c r="B158" s="131"/>
      <c r="C158" s="132"/>
      <c r="D158" s="140">
        <v>27.481120000000001</v>
      </c>
      <c r="E158" s="141"/>
      <c r="F158" s="169">
        <v>192367.84</v>
      </c>
      <c r="G158" s="170"/>
    </row>
    <row r="159" spans="1:7" ht="15.75" x14ac:dyDescent="0.25">
      <c r="A159" s="130" t="s">
        <v>76</v>
      </c>
      <c r="B159" s="131"/>
      <c r="C159" s="132"/>
      <c r="D159" s="140">
        <v>29.511700000000001</v>
      </c>
      <c r="E159" s="141"/>
      <c r="F159" s="169">
        <v>0</v>
      </c>
      <c r="G159" s="170"/>
    </row>
    <row r="160" spans="1:7" ht="15.75" x14ac:dyDescent="0.25">
      <c r="A160" s="130" t="s">
        <v>77</v>
      </c>
      <c r="B160" s="131"/>
      <c r="C160" s="132"/>
      <c r="D160" s="140">
        <v>4.2119799999999996</v>
      </c>
      <c r="E160" s="141"/>
      <c r="F160" s="169">
        <v>0</v>
      </c>
      <c r="G160" s="170"/>
    </row>
    <row r="161" spans="1:7" ht="15.75" x14ac:dyDescent="0.25">
      <c r="A161" s="130" t="s">
        <v>78</v>
      </c>
      <c r="B161" s="131"/>
      <c r="C161" s="132"/>
      <c r="D161" s="140">
        <v>8.6928800000000006</v>
      </c>
      <c r="E161" s="141"/>
      <c r="F161" s="169">
        <v>86928.8</v>
      </c>
      <c r="G161" s="170"/>
    </row>
    <row r="162" spans="1:7" ht="15.75" x14ac:dyDescent="0.25">
      <c r="A162" s="130" t="s">
        <v>79</v>
      </c>
      <c r="B162" s="131"/>
      <c r="C162" s="132"/>
      <c r="D162" s="140">
        <v>7.27691</v>
      </c>
      <c r="E162" s="141"/>
      <c r="F162" s="169">
        <v>72769.100000000006</v>
      </c>
      <c r="G162" s="170"/>
    </row>
    <row r="163" spans="1:7" ht="15.75" x14ac:dyDescent="0.25">
      <c r="A163" s="130" t="s">
        <v>80</v>
      </c>
      <c r="B163" s="131"/>
      <c r="C163" s="132"/>
      <c r="D163" s="163">
        <v>0.1031</v>
      </c>
      <c r="E163" s="164"/>
      <c r="F163" s="169">
        <v>1031</v>
      </c>
      <c r="G163" s="170"/>
    </row>
    <row r="164" spans="1:7" ht="15.75" x14ac:dyDescent="0.25">
      <c r="A164" s="130" t="s">
        <v>81</v>
      </c>
      <c r="B164" s="131"/>
      <c r="C164" s="132"/>
      <c r="D164" s="140">
        <v>4.2344099999999996</v>
      </c>
      <c r="E164" s="141"/>
      <c r="F164" s="169">
        <v>0</v>
      </c>
      <c r="G164" s="170"/>
    </row>
    <row r="165" spans="1:7" ht="15.75" x14ac:dyDescent="0.25">
      <c r="A165" s="130" t="s">
        <v>82</v>
      </c>
      <c r="B165" s="131"/>
      <c r="C165" s="132"/>
      <c r="D165" s="140">
        <v>1.8275599999999999</v>
      </c>
      <c r="E165" s="141"/>
      <c r="F165" s="169">
        <v>73102.399999999994</v>
      </c>
      <c r="G165" s="170"/>
    </row>
    <row r="166" spans="1:7" ht="15.75" x14ac:dyDescent="0.25">
      <c r="A166" s="130" t="s">
        <v>83</v>
      </c>
      <c r="B166" s="131"/>
      <c r="C166" s="132"/>
      <c r="D166" s="148">
        <v>6.8266100000000005</v>
      </c>
      <c r="E166" s="149"/>
      <c r="F166" s="169">
        <v>34133.050000000003</v>
      </c>
      <c r="G166" s="170"/>
    </row>
    <row r="167" spans="1:7" ht="15.75" x14ac:dyDescent="0.25">
      <c r="A167" s="130" t="s">
        <v>84</v>
      </c>
      <c r="B167" s="131"/>
      <c r="C167" s="132"/>
      <c r="D167" s="140">
        <v>6.6550000000000002</v>
      </c>
      <c r="E167" s="141"/>
      <c r="F167" s="169">
        <v>0</v>
      </c>
      <c r="G167" s="170"/>
    </row>
    <row r="168" spans="1:7" ht="15.75" x14ac:dyDescent="0.25">
      <c r="A168" s="130" t="s">
        <v>85</v>
      </c>
      <c r="B168" s="131"/>
      <c r="C168" s="132"/>
      <c r="D168" s="140">
        <v>12.06725</v>
      </c>
      <c r="E168" s="141"/>
      <c r="F168" s="169">
        <v>0</v>
      </c>
      <c r="G168" s="170"/>
    </row>
    <row r="169" spans="1:7" ht="15.75" x14ac:dyDescent="0.25">
      <c r="A169" s="130" t="s">
        <v>8</v>
      </c>
      <c r="B169" s="131"/>
      <c r="C169" s="132"/>
      <c r="D169" s="140">
        <v>45.521729999999998</v>
      </c>
      <c r="E169" s="141"/>
      <c r="F169" s="169">
        <v>0</v>
      </c>
      <c r="G169" s="170"/>
    </row>
    <row r="170" spans="1:7" ht="15.75" x14ac:dyDescent="0.25">
      <c r="A170" s="122" t="s">
        <v>44</v>
      </c>
      <c r="B170" s="123"/>
      <c r="C170" s="124"/>
      <c r="D170" s="142">
        <f>SUM(D156:E168)</f>
        <v>112.70635000000001</v>
      </c>
      <c r="E170" s="143"/>
      <c r="F170" s="171">
        <f>SUM(F156:G168)</f>
        <v>513376.61000000004</v>
      </c>
      <c r="G170" s="172"/>
    </row>
  </sheetData>
  <mergeCells count="491">
    <mergeCell ref="A154:G154"/>
    <mergeCell ref="A170:C170"/>
    <mergeCell ref="D170:E170"/>
    <mergeCell ref="F170:G170"/>
    <mergeCell ref="A155:C155"/>
    <mergeCell ref="D155:E155"/>
    <mergeCell ref="F155:G155"/>
    <mergeCell ref="A168:C168"/>
    <mergeCell ref="D168:E168"/>
    <mergeCell ref="F168:G168"/>
    <mergeCell ref="A169:C169"/>
    <mergeCell ref="D169:E169"/>
    <mergeCell ref="F169:G169"/>
    <mergeCell ref="A166:C166"/>
    <mergeCell ref="D166:E166"/>
    <mergeCell ref="F166:G166"/>
    <mergeCell ref="A167:C167"/>
    <mergeCell ref="D167:E167"/>
    <mergeCell ref="F167:G167"/>
    <mergeCell ref="A164:C164"/>
    <mergeCell ref="D164:E164"/>
    <mergeCell ref="F164:G164"/>
    <mergeCell ref="A165:C165"/>
    <mergeCell ref="D165:E165"/>
    <mergeCell ref="F165:G165"/>
    <mergeCell ref="A162:C162"/>
    <mergeCell ref="D162:E162"/>
    <mergeCell ref="F162:G162"/>
    <mergeCell ref="A163:C163"/>
    <mergeCell ref="D163:E163"/>
    <mergeCell ref="F163:G163"/>
    <mergeCell ref="A160:C160"/>
    <mergeCell ref="D160:E160"/>
    <mergeCell ref="F160:G160"/>
    <mergeCell ref="A161:C161"/>
    <mergeCell ref="D161:E161"/>
    <mergeCell ref="F161:G161"/>
    <mergeCell ref="A158:C158"/>
    <mergeCell ref="D158:E158"/>
    <mergeCell ref="F158:G158"/>
    <mergeCell ref="A159:C159"/>
    <mergeCell ref="D159:E159"/>
    <mergeCell ref="F159:G159"/>
    <mergeCell ref="A156:C156"/>
    <mergeCell ref="D156:E156"/>
    <mergeCell ref="F156:G156"/>
    <mergeCell ref="A157:C157"/>
    <mergeCell ref="D157:E157"/>
    <mergeCell ref="F157:G157"/>
    <mergeCell ref="A139:C139"/>
    <mergeCell ref="D139:E139"/>
    <mergeCell ref="F139:G139"/>
    <mergeCell ref="A140:C140"/>
    <mergeCell ref="D140:E140"/>
    <mergeCell ref="F140:G140"/>
    <mergeCell ref="A141:C141"/>
    <mergeCell ref="D141:E141"/>
    <mergeCell ref="F141:G141"/>
    <mergeCell ref="F150:G150"/>
    <mergeCell ref="A147:C147"/>
    <mergeCell ref="D147:E147"/>
    <mergeCell ref="F147:G147"/>
    <mergeCell ref="A148:C148"/>
    <mergeCell ref="D148:E148"/>
    <mergeCell ref="F148:G148"/>
    <mergeCell ref="A142:C142"/>
    <mergeCell ref="D142:E142"/>
    <mergeCell ref="F142:G142"/>
    <mergeCell ref="A143:C143"/>
    <mergeCell ref="D143:E143"/>
    <mergeCell ref="F143:G143"/>
    <mergeCell ref="A144:C144"/>
    <mergeCell ref="D144:E144"/>
    <mergeCell ref="F144:G144"/>
    <mergeCell ref="A137:G137"/>
    <mergeCell ref="A153:C153"/>
    <mergeCell ref="D153:E153"/>
    <mergeCell ref="F153:G153"/>
    <mergeCell ref="A138:C138"/>
    <mergeCell ref="D138:E138"/>
    <mergeCell ref="F138:G138"/>
    <mergeCell ref="A151:C151"/>
    <mergeCell ref="D151:E151"/>
    <mergeCell ref="F151:G151"/>
    <mergeCell ref="A152:C152"/>
    <mergeCell ref="D152:E152"/>
    <mergeCell ref="F152:G152"/>
    <mergeCell ref="A149:C149"/>
    <mergeCell ref="D149:E149"/>
    <mergeCell ref="F149:G149"/>
    <mergeCell ref="A145:C145"/>
    <mergeCell ref="D145:E145"/>
    <mergeCell ref="F145:G145"/>
    <mergeCell ref="A146:C146"/>
    <mergeCell ref="D146:E146"/>
    <mergeCell ref="F146:G146"/>
    <mergeCell ref="A150:C150"/>
    <mergeCell ref="D150:E150"/>
    <mergeCell ref="A124:C124"/>
    <mergeCell ref="D124:E124"/>
    <mergeCell ref="F124:G124"/>
    <mergeCell ref="A125:C125"/>
    <mergeCell ref="D125:E125"/>
    <mergeCell ref="F125:G125"/>
    <mergeCell ref="A122:C122"/>
    <mergeCell ref="D122:E122"/>
    <mergeCell ref="F122:G122"/>
    <mergeCell ref="A123:C123"/>
    <mergeCell ref="D123:E123"/>
    <mergeCell ref="F123:G123"/>
    <mergeCell ref="F131:G131"/>
    <mergeCell ref="A128:C128"/>
    <mergeCell ref="D128:E128"/>
    <mergeCell ref="F128:G128"/>
    <mergeCell ref="A129:C129"/>
    <mergeCell ref="D129:E129"/>
    <mergeCell ref="F129:G129"/>
    <mergeCell ref="A126:C126"/>
    <mergeCell ref="D126:E126"/>
    <mergeCell ref="F126:G126"/>
    <mergeCell ref="A127:C127"/>
    <mergeCell ref="D127:E127"/>
    <mergeCell ref="F127:G127"/>
    <mergeCell ref="A120:G120"/>
    <mergeCell ref="A136:C136"/>
    <mergeCell ref="D136:E136"/>
    <mergeCell ref="F136:G136"/>
    <mergeCell ref="A121:C121"/>
    <mergeCell ref="D121:E121"/>
    <mergeCell ref="F121:G121"/>
    <mergeCell ref="A134:C134"/>
    <mergeCell ref="D134:E134"/>
    <mergeCell ref="F134:G134"/>
    <mergeCell ref="A135:C135"/>
    <mergeCell ref="D135:E135"/>
    <mergeCell ref="F135:G135"/>
    <mergeCell ref="A132:C132"/>
    <mergeCell ref="D132:E132"/>
    <mergeCell ref="F132:G132"/>
    <mergeCell ref="A133:C133"/>
    <mergeCell ref="D133:E133"/>
    <mergeCell ref="F133:G133"/>
    <mergeCell ref="A130:C130"/>
    <mergeCell ref="D130:E130"/>
    <mergeCell ref="F130:G130"/>
    <mergeCell ref="A131:C131"/>
    <mergeCell ref="D131:E131"/>
    <mergeCell ref="A106:C106"/>
    <mergeCell ref="D106:E106"/>
    <mergeCell ref="F106:G106"/>
    <mergeCell ref="A107:C107"/>
    <mergeCell ref="D107:E107"/>
    <mergeCell ref="F107:G107"/>
    <mergeCell ref="A103:G103"/>
    <mergeCell ref="A104:C104"/>
    <mergeCell ref="D104:E104"/>
    <mergeCell ref="F104:G104"/>
    <mergeCell ref="A105:C105"/>
    <mergeCell ref="D105:E105"/>
    <mergeCell ref="F105:G105"/>
    <mergeCell ref="A110:C110"/>
    <mergeCell ref="D110:E110"/>
    <mergeCell ref="F110:G110"/>
    <mergeCell ref="A111:C111"/>
    <mergeCell ref="D111:E111"/>
    <mergeCell ref="F111:G111"/>
    <mergeCell ref="A108:C108"/>
    <mergeCell ref="D108:E108"/>
    <mergeCell ref="F108:G108"/>
    <mergeCell ref="A109:C109"/>
    <mergeCell ref="D109:E109"/>
    <mergeCell ref="F109:G109"/>
    <mergeCell ref="A114:C114"/>
    <mergeCell ref="D114:E114"/>
    <mergeCell ref="F114:G114"/>
    <mergeCell ref="A115:C115"/>
    <mergeCell ref="D115:E115"/>
    <mergeCell ref="F115:G115"/>
    <mergeCell ref="A112:C112"/>
    <mergeCell ref="D112:E112"/>
    <mergeCell ref="F112:G112"/>
    <mergeCell ref="A113:C113"/>
    <mergeCell ref="D113:E113"/>
    <mergeCell ref="F113:G113"/>
    <mergeCell ref="A118:C118"/>
    <mergeCell ref="D118:E118"/>
    <mergeCell ref="F118:G118"/>
    <mergeCell ref="A119:C119"/>
    <mergeCell ref="D119:E119"/>
    <mergeCell ref="F119:G119"/>
    <mergeCell ref="A116:C116"/>
    <mergeCell ref="D116:E116"/>
    <mergeCell ref="F116:G116"/>
    <mergeCell ref="A117:C117"/>
    <mergeCell ref="D117:E117"/>
    <mergeCell ref="F117:G117"/>
    <mergeCell ref="A89:C89"/>
    <mergeCell ref="D89:E89"/>
    <mergeCell ref="F89:G89"/>
    <mergeCell ref="A90:C90"/>
    <mergeCell ref="D90:E90"/>
    <mergeCell ref="F90:G90"/>
    <mergeCell ref="A86:G86"/>
    <mergeCell ref="A87:C87"/>
    <mergeCell ref="D87:E87"/>
    <mergeCell ref="F87:G87"/>
    <mergeCell ref="A88:C88"/>
    <mergeCell ref="D88:E88"/>
    <mergeCell ref="F88:G88"/>
    <mergeCell ref="A93:C93"/>
    <mergeCell ref="D93:E93"/>
    <mergeCell ref="F93:G93"/>
    <mergeCell ref="A94:C94"/>
    <mergeCell ref="D94:E94"/>
    <mergeCell ref="F94:G94"/>
    <mergeCell ref="A91:C91"/>
    <mergeCell ref="D91:E91"/>
    <mergeCell ref="F91:G91"/>
    <mergeCell ref="A92:C92"/>
    <mergeCell ref="D92:E92"/>
    <mergeCell ref="F92:G92"/>
    <mergeCell ref="A97:C97"/>
    <mergeCell ref="D97:E97"/>
    <mergeCell ref="F97:G97"/>
    <mergeCell ref="A98:C98"/>
    <mergeCell ref="D98:E98"/>
    <mergeCell ref="F98:G98"/>
    <mergeCell ref="A95:C95"/>
    <mergeCell ref="D95:E95"/>
    <mergeCell ref="F95:G95"/>
    <mergeCell ref="A96:C96"/>
    <mergeCell ref="D96:E96"/>
    <mergeCell ref="F96:G96"/>
    <mergeCell ref="A101:C101"/>
    <mergeCell ref="D101:E101"/>
    <mergeCell ref="F101:G101"/>
    <mergeCell ref="A102:C102"/>
    <mergeCell ref="D102:E102"/>
    <mergeCell ref="F102:G102"/>
    <mergeCell ref="A99:C99"/>
    <mergeCell ref="D99:E99"/>
    <mergeCell ref="F99:G99"/>
    <mergeCell ref="A100:C100"/>
    <mergeCell ref="D100:E100"/>
    <mergeCell ref="F100:G100"/>
    <mergeCell ref="A72:C72"/>
    <mergeCell ref="D72:E72"/>
    <mergeCell ref="F72:G72"/>
    <mergeCell ref="A73:C73"/>
    <mergeCell ref="D73:E73"/>
    <mergeCell ref="F73:G73"/>
    <mergeCell ref="A69:G69"/>
    <mergeCell ref="A70:C70"/>
    <mergeCell ref="D70:E70"/>
    <mergeCell ref="F70:G70"/>
    <mergeCell ref="A71:C71"/>
    <mergeCell ref="D71:E71"/>
    <mergeCell ref="F71:G71"/>
    <mergeCell ref="A76:C76"/>
    <mergeCell ref="D76:E76"/>
    <mergeCell ref="F76:G76"/>
    <mergeCell ref="A77:C77"/>
    <mergeCell ref="D77:E77"/>
    <mergeCell ref="F77:G77"/>
    <mergeCell ref="A74:C74"/>
    <mergeCell ref="D74:E74"/>
    <mergeCell ref="F74:G74"/>
    <mergeCell ref="A75:C75"/>
    <mergeCell ref="D75:E75"/>
    <mergeCell ref="F75:G75"/>
    <mergeCell ref="A80:C80"/>
    <mergeCell ref="D80:E80"/>
    <mergeCell ref="F80:G80"/>
    <mergeCell ref="A81:C81"/>
    <mergeCell ref="D81:E81"/>
    <mergeCell ref="F81:G81"/>
    <mergeCell ref="A78:C78"/>
    <mergeCell ref="D78:E78"/>
    <mergeCell ref="F78:G78"/>
    <mergeCell ref="A79:C79"/>
    <mergeCell ref="D79:E79"/>
    <mergeCell ref="F79:G79"/>
    <mergeCell ref="A84:C84"/>
    <mergeCell ref="D84:E84"/>
    <mergeCell ref="F84:G84"/>
    <mergeCell ref="A85:C85"/>
    <mergeCell ref="D85:E85"/>
    <mergeCell ref="F85:G85"/>
    <mergeCell ref="A82:C82"/>
    <mergeCell ref="D82:E82"/>
    <mergeCell ref="F82:G82"/>
    <mergeCell ref="A83:C83"/>
    <mergeCell ref="D83:E83"/>
    <mergeCell ref="F83:G83"/>
    <mergeCell ref="A55:C55"/>
    <mergeCell ref="D55:E55"/>
    <mergeCell ref="F55:G55"/>
    <mergeCell ref="A56:C56"/>
    <mergeCell ref="D56:E56"/>
    <mergeCell ref="F56:G56"/>
    <mergeCell ref="A52:G52"/>
    <mergeCell ref="A53:C53"/>
    <mergeCell ref="D53:E53"/>
    <mergeCell ref="F53:G53"/>
    <mergeCell ref="A54:C54"/>
    <mergeCell ref="D54:E54"/>
    <mergeCell ref="F54:G54"/>
    <mergeCell ref="A59:C59"/>
    <mergeCell ref="D59:E59"/>
    <mergeCell ref="F59:G59"/>
    <mergeCell ref="A60:C60"/>
    <mergeCell ref="D60:E60"/>
    <mergeCell ref="F60:G60"/>
    <mergeCell ref="A57:C57"/>
    <mergeCell ref="D57:E57"/>
    <mergeCell ref="F57:G57"/>
    <mergeCell ref="A58:C58"/>
    <mergeCell ref="D58:E58"/>
    <mergeCell ref="F58:G58"/>
    <mergeCell ref="A63:C63"/>
    <mergeCell ref="D63:E63"/>
    <mergeCell ref="F63:G63"/>
    <mergeCell ref="A64:C64"/>
    <mergeCell ref="D64:E64"/>
    <mergeCell ref="F64:G64"/>
    <mergeCell ref="A61:C61"/>
    <mergeCell ref="D61:E61"/>
    <mergeCell ref="F61:G61"/>
    <mergeCell ref="A62:C62"/>
    <mergeCell ref="D62:E62"/>
    <mergeCell ref="F62:G62"/>
    <mergeCell ref="A67:C67"/>
    <mergeCell ref="D67:E67"/>
    <mergeCell ref="F67:G67"/>
    <mergeCell ref="A68:C68"/>
    <mergeCell ref="D68:E68"/>
    <mergeCell ref="F68:G68"/>
    <mergeCell ref="A65:C65"/>
    <mergeCell ref="D65:E65"/>
    <mergeCell ref="F65:G65"/>
    <mergeCell ref="A66:C66"/>
    <mergeCell ref="D66:E66"/>
    <mergeCell ref="F66:G66"/>
    <mergeCell ref="A38:C38"/>
    <mergeCell ref="D38:E38"/>
    <mergeCell ref="F38:G38"/>
    <mergeCell ref="A39:C39"/>
    <mergeCell ref="D39:E39"/>
    <mergeCell ref="F39:G39"/>
    <mergeCell ref="A35:G35"/>
    <mergeCell ref="A36:C36"/>
    <mergeCell ref="D36:E36"/>
    <mergeCell ref="F36:G36"/>
    <mergeCell ref="A37:C37"/>
    <mergeCell ref="D37:E37"/>
    <mergeCell ref="F37:G37"/>
    <mergeCell ref="A42:C42"/>
    <mergeCell ref="D42:E42"/>
    <mergeCell ref="F42:G42"/>
    <mergeCell ref="A43:C43"/>
    <mergeCell ref="D43:E43"/>
    <mergeCell ref="F43:G43"/>
    <mergeCell ref="A40:C40"/>
    <mergeCell ref="D40:E40"/>
    <mergeCell ref="F40:G40"/>
    <mergeCell ref="A41:C41"/>
    <mergeCell ref="D41:E41"/>
    <mergeCell ref="F41:G41"/>
    <mergeCell ref="A46:C46"/>
    <mergeCell ref="D46:E46"/>
    <mergeCell ref="F46:G46"/>
    <mergeCell ref="A47:C47"/>
    <mergeCell ref="D47:E47"/>
    <mergeCell ref="F47:G47"/>
    <mergeCell ref="A44:C44"/>
    <mergeCell ref="D44:E44"/>
    <mergeCell ref="F44:G44"/>
    <mergeCell ref="A45:C45"/>
    <mergeCell ref="D45:E45"/>
    <mergeCell ref="F45:G45"/>
    <mergeCell ref="A50:C50"/>
    <mergeCell ref="D50:E50"/>
    <mergeCell ref="F50:G50"/>
    <mergeCell ref="A51:C51"/>
    <mergeCell ref="D51:E51"/>
    <mergeCell ref="F51:G51"/>
    <mergeCell ref="A48:C48"/>
    <mergeCell ref="D48:E48"/>
    <mergeCell ref="F48:G48"/>
    <mergeCell ref="A49:C49"/>
    <mergeCell ref="D49:E49"/>
    <mergeCell ref="F49:G49"/>
    <mergeCell ref="D21:E21"/>
    <mergeCell ref="F21:G21"/>
    <mergeCell ref="A22:C22"/>
    <mergeCell ref="D22:E22"/>
    <mergeCell ref="F22:G22"/>
    <mergeCell ref="A18:G18"/>
    <mergeCell ref="A19:C19"/>
    <mergeCell ref="D19:E19"/>
    <mergeCell ref="F19:G19"/>
    <mergeCell ref="A20:C20"/>
    <mergeCell ref="D20:E20"/>
    <mergeCell ref="F20:G20"/>
    <mergeCell ref="A25:C25"/>
    <mergeCell ref="D25:E25"/>
    <mergeCell ref="F25:G25"/>
    <mergeCell ref="A26:C26"/>
    <mergeCell ref="D26:E26"/>
    <mergeCell ref="F26:G26"/>
    <mergeCell ref="A23:C23"/>
    <mergeCell ref="D23:E23"/>
    <mergeCell ref="F23:G23"/>
    <mergeCell ref="A24:C24"/>
    <mergeCell ref="D24:E24"/>
    <mergeCell ref="F24:G24"/>
    <mergeCell ref="A29:C29"/>
    <mergeCell ref="D29:E29"/>
    <mergeCell ref="F29:G29"/>
    <mergeCell ref="A30:C30"/>
    <mergeCell ref="D30:E30"/>
    <mergeCell ref="F30:G30"/>
    <mergeCell ref="A27:C27"/>
    <mergeCell ref="D27:E27"/>
    <mergeCell ref="F27:G27"/>
    <mergeCell ref="A28:C28"/>
    <mergeCell ref="D28:E28"/>
    <mergeCell ref="F28:G28"/>
    <mergeCell ref="A33:C33"/>
    <mergeCell ref="D33:E33"/>
    <mergeCell ref="F33:G33"/>
    <mergeCell ref="A34:C34"/>
    <mergeCell ref="D34:E34"/>
    <mergeCell ref="F34:G34"/>
    <mergeCell ref="A31:C31"/>
    <mergeCell ref="D31:E31"/>
    <mergeCell ref="F31:G31"/>
    <mergeCell ref="A32:C32"/>
    <mergeCell ref="D32:E32"/>
    <mergeCell ref="F32:G32"/>
    <mergeCell ref="A1:G1"/>
    <mergeCell ref="A2:C2"/>
    <mergeCell ref="D2:E2"/>
    <mergeCell ref="F2:G2"/>
    <mergeCell ref="F3:G3"/>
    <mergeCell ref="F4:G4"/>
    <mergeCell ref="F5:G5"/>
    <mergeCell ref="F6:G6"/>
    <mergeCell ref="F7:G7"/>
    <mergeCell ref="D5:E5"/>
    <mergeCell ref="D6:E6"/>
    <mergeCell ref="D7:E7"/>
    <mergeCell ref="D3:E3"/>
    <mergeCell ref="D4:E4"/>
    <mergeCell ref="A3:C3"/>
    <mergeCell ref="I21:L21"/>
    <mergeCell ref="A17:C17"/>
    <mergeCell ref="D17:E17"/>
    <mergeCell ref="F17:G17"/>
    <mergeCell ref="A6:C6"/>
    <mergeCell ref="A5:C5"/>
    <mergeCell ref="A4:C4"/>
    <mergeCell ref="D16:E16"/>
    <mergeCell ref="F14:G14"/>
    <mergeCell ref="F15:G15"/>
    <mergeCell ref="F16:G16"/>
    <mergeCell ref="D14:E14"/>
    <mergeCell ref="D15:E15"/>
    <mergeCell ref="F8:G8"/>
    <mergeCell ref="F9:G9"/>
    <mergeCell ref="F10:G10"/>
    <mergeCell ref="F11:G11"/>
    <mergeCell ref="F12:G12"/>
    <mergeCell ref="F13:G13"/>
    <mergeCell ref="D8:E8"/>
    <mergeCell ref="D9:E9"/>
    <mergeCell ref="D10:E10"/>
    <mergeCell ref="D11:E11"/>
    <mergeCell ref="A21:C21"/>
    <mergeCell ref="D12:E12"/>
    <mergeCell ref="D13:E13"/>
    <mergeCell ref="A11:C11"/>
    <mergeCell ref="A10:C10"/>
    <mergeCell ref="A9:C9"/>
    <mergeCell ref="A8:C8"/>
    <mergeCell ref="A7:C7"/>
    <mergeCell ref="A16:C16"/>
    <mergeCell ref="A15:C15"/>
    <mergeCell ref="A14:C14"/>
    <mergeCell ref="A13:C13"/>
    <mergeCell ref="A12:C1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EAB50-F9EC-4EFF-A8DF-63E9344DC441}">
  <dimension ref="A2:C17"/>
  <sheetViews>
    <sheetView zoomScale="115" zoomScaleNormal="115" workbookViewId="0">
      <selection activeCell="B15" sqref="B15"/>
    </sheetView>
  </sheetViews>
  <sheetFormatPr baseColWidth="10" defaultRowHeight="15" x14ac:dyDescent="0.25"/>
  <cols>
    <col min="1" max="1" width="24.42578125" bestFit="1" customWidth="1"/>
    <col min="2" max="2" width="11" bestFit="1" customWidth="1"/>
    <col min="3" max="3" width="7.28515625" bestFit="1" customWidth="1"/>
  </cols>
  <sheetData>
    <row r="2" spans="1:3" ht="15.75" x14ac:dyDescent="0.25">
      <c r="A2" s="55" t="s">
        <v>0</v>
      </c>
      <c r="B2" s="66" t="s">
        <v>71</v>
      </c>
      <c r="C2" s="67" t="s">
        <v>16</v>
      </c>
    </row>
    <row r="3" spans="1:3" ht="15.75" x14ac:dyDescent="0.25">
      <c r="A3" s="60" t="s">
        <v>80</v>
      </c>
      <c r="B3" s="61">
        <v>0.30099999999999999</v>
      </c>
      <c r="C3" s="62">
        <v>2.2769032515139117E-2</v>
      </c>
    </row>
    <row r="4" spans="1:3" ht="15.75" x14ac:dyDescent="0.25">
      <c r="A4" s="60" t="s">
        <v>74</v>
      </c>
      <c r="B4" s="61">
        <v>7.0774699999999999</v>
      </c>
      <c r="C4" s="62">
        <v>0.53537257327216492</v>
      </c>
    </row>
    <row r="5" spans="1:3" ht="15.75" x14ac:dyDescent="0.25">
      <c r="A5" s="60" t="s">
        <v>82</v>
      </c>
      <c r="B5" s="61">
        <v>12.756160000000003</v>
      </c>
      <c r="C5" s="62">
        <v>0.96493495617381075</v>
      </c>
    </row>
    <row r="6" spans="1:3" ht="15.75" x14ac:dyDescent="0.25">
      <c r="A6" s="60" t="s">
        <v>73</v>
      </c>
      <c r="B6" s="61">
        <v>20.806650000000005</v>
      </c>
      <c r="C6" s="62">
        <v>1.5739112637246493</v>
      </c>
    </row>
    <row r="7" spans="1:3" ht="15.75" x14ac:dyDescent="0.25">
      <c r="A7" s="60" t="s">
        <v>81</v>
      </c>
      <c r="B7" s="61">
        <v>27.676880000000001</v>
      </c>
      <c r="C7" s="62">
        <v>2.0936072446432012</v>
      </c>
    </row>
    <row r="8" spans="1:3" ht="15.75" x14ac:dyDescent="0.25">
      <c r="A8" s="60" t="s">
        <v>77</v>
      </c>
      <c r="B8" s="61">
        <v>33.145800000000001</v>
      </c>
      <c r="C8" s="62">
        <v>2.5073016542867048</v>
      </c>
    </row>
    <row r="9" spans="1:3" ht="15.75" x14ac:dyDescent="0.25">
      <c r="A9" s="60" t="s">
        <v>84</v>
      </c>
      <c r="B9" s="61">
        <v>64.511449999999996</v>
      </c>
      <c r="C9" s="62">
        <v>4.8799445270723298</v>
      </c>
    </row>
    <row r="10" spans="1:3" ht="15.75" x14ac:dyDescent="0.25">
      <c r="A10" s="60" t="s">
        <v>83</v>
      </c>
      <c r="B10" s="61">
        <v>67.427509999999998</v>
      </c>
      <c r="C10" s="62">
        <v>5.1005287960294616</v>
      </c>
    </row>
    <row r="11" spans="1:3" ht="15.75" x14ac:dyDescent="0.25">
      <c r="A11" s="60" t="s">
        <v>79</v>
      </c>
      <c r="B11" s="61">
        <v>68.021429999999995</v>
      </c>
      <c r="C11" s="62">
        <v>5.1454556524792663</v>
      </c>
    </row>
    <row r="12" spans="1:3" ht="15.75" x14ac:dyDescent="0.25">
      <c r="A12" s="60" t="s">
        <v>78</v>
      </c>
      <c r="B12" s="61">
        <v>84.887820000000005</v>
      </c>
      <c r="C12" s="62">
        <v>6.4213074209942755</v>
      </c>
    </row>
    <row r="13" spans="1:3" ht="15.75" x14ac:dyDescent="0.25">
      <c r="A13" s="60" t="s">
        <v>85</v>
      </c>
      <c r="B13" s="61">
        <v>126.09263000000001</v>
      </c>
      <c r="C13" s="62">
        <v>9.5382298750478611</v>
      </c>
    </row>
    <row r="14" spans="1:3" ht="15.75" x14ac:dyDescent="0.25">
      <c r="A14" s="60" t="s">
        <v>75</v>
      </c>
      <c r="B14" s="61">
        <v>184.54</v>
      </c>
      <c r="C14" s="62">
        <v>13.959459336690275</v>
      </c>
    </row>
    <row r="15" spans="1:3" ht="15.75" x14ac:dyDescent="0.25">
      <c r="A15" s="60" t="s">
        <v>76</v>
      </c>
      <c r="B15" s="61">
        <v>221.35820000000004</v>
      </c>
      <c r="C15" s="62">
        <v>16.744558316586939</v>
      </c>
    </row>
    <row r="16" spans="1:3" ht="15.75" x14ac:dyDescent="0.25">
      <c r="A16" s="60" t="s">
        <v>8</v>
      </c>
      <c r="B16" s="61">
        <v>403.36796999999996</v>
      </c>
      <c r="C16" s="62">
        <v>30.51261935048392</v>
      </c>
    </row>
    <row r="17" spans="1:3" ht="15.75" x14ac:dyDescent="0.25">
      <c r="A17" s="55" t="s">
        <v>44</v>
      </c>
      <c r="B17" s="63">
        <v>918.60300000000007</v>
      </c>
      <c r="C17" s="64">
        <v>99.999999999999986</v>
      </c>
    </row>
  </sheetData>
  <sortState xmlns:xlrd2="http://schemas.microsoft.com/office/spreadsheetml/2017/richdata2" ref="A3:C17">
    <sortCondition ref="C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Vargas</dc:creator>
  <cp:lastModifiedBy>Teresita Granados</cp:lastModifiedBy>
  <dcterms:created xsi:type="dcterms:W3CDTF">2020-06-16T21:11:45Z</dcterms:created>
  <dcterms:modified xsi:type="dcterms:W3CDTF">2023-07-18T21:22:43Z</dcterms:modified>
</cp:coreProperties>
</file>